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S:\1.04.RCT\2020-90-RCT_Trials\02_Process\2 Templates\2 in development\Finance\call 2023\"/>
    </mc:Choice>
  </mc:AlternateContent>
  <xr:revisionPtr revIDLastSave="0" documentId="13_ncr:1_{43FD5CE3-3C8F-4427-A384-4C57DD19D861}" xr6:coauthVersionLast="47" xr6:coauthVersionMax="47" xr10:uidLastSave="{00000000-0000-0000-0000-000000000000}"/>
  <bookViews>
    <workbookView xWindow="-120" yWindow="-120" windowWidth="29040" windowHeight="15840" tabRatio="601" xr2:uid="{00000000-000D-0000-FFFF-FFFF00000000}"/>
  </bookViews>
  <sheets>
    <sheet name="How to complete" sheetId="8" r:id="rId1"/>
    <sheet name="Study Parameters" sheetId="3" r:id="rId2"/>
    <sheet name="Lists" sheetId="10" state="hidden" r:id="rId3"/>
    <sheet name="Budget Parameters" sheetId="4" r:id="rId4"/>
    <sheet name="Overall Cost" sheetId="2" r:id="rId5"/>
    <sheet name="Site Costs" sheetId="7" r:id="rId6"/>
    <sheet name="info versions" sheetId="9" state="hidden" r:id="rId7"/>
  </sheets>
  <definedNames>
    <definedName name="_xlnm._FilterDatabase" localSheetId="4" hidden="1">'Overall Cost'!$A$1:$K$91</definedName>
    <definedName name="_xlnm.Print_Area" localSheetId="3">'Budget Parameters'!$A$1:$F$57</definedName>
    <definedName name="_xlnm.Print_Area" localSheetId="0">'How to complete'!$A$1:$A$9</definedName>
    <definedName name="_xlnm.Print_Area" localSheetId="4">'Overall Cost'!$A$1:$L$100</definedName>
    <definedName name="_xlnm.Print_Titles" localSheetId="4">'Overall Cost'!$1:$1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D31" i="3"/>
  <c r="D32" i="3"/>
  <c r="D33" i="3"/>
  <c r="I77" i="2"/>
  <c r="D14" i="7" l="1"/>
  <c r="E14" i="7"/>
  <c r="E15" i="7" s="1"/>
  <c r="F6" i="2"/>
  <c r="G6" i="2" s="1"/>
  <c r="H6" i="2" s="1"/>
  <c r="I6" i="2" s="1"/>
  <c r="J6" i="2" s="1"/>
  <c r="F5" i="2"/>
  <c r="G5" i="2" s="1"/>
  <c r="H5" i="2" s="1"/>
  <c r="I5" i="2" s="1"/>
  <c r="J5" i="2" s="1"/>
  <c r="E1" i="4"/>
  <c r="C1" i="4"/>
  <c r="F10" i="7"/>
  <c r="G10" i="7"/>
  <c r="G13" i="7" s="1"/>
  <c r="H10" i="7"/>
  <c r="H13" i="7" s="1"/>
  <c r="E10" i="7"/>
  <c r="D10" i="7"/>
  <c r="E9" i="7"/>
  <c r="F9" i="7"/>
  <c r="G9" i="7"/>
  <c r="H9" i="7"/>
  <c r="D9" i="7"/>
  <c r="C9" i="7"/>
  <c r="I88" i="2"/>
  <c r="J88" i="2" s="1"/>
  <c r="H88" i="2"/>
  <c r="G90" i="2"/>
  <c r="G82" i="2"/>
  <c r="G78" i="2"/>
  <c r="G58" i="2"/>
  <c r="F58" i="2"/>
  <c r="D57" i="2"/>
  <c r="D56" i="2"/>
  <c r="B23" i="7"/>
  <c r="B22" i="7"/>
  <c r="B10" i="7"/>
  <c r="B9" i="7"/>
  <c r="B8" i="7"/>
  <c r="C7" i="7"/>
  <c r="B7" i="7"/>
  <c r="F46" i="4"/>
  <c r="F47" i="4"/>
  <c r="F48" i="4"/>
  <c r="F50" i="4"/>
  <c r="F51" i="4"/>
  <c r="F52" i="4"/>
  <c r="F45"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E59" i="4"/>
  <c r="E58" i="4"/>
  <c r="E57" i="4"/>
  <c r="E56" i="4"/>
  <c r="E55" i="4"/>
  <c r="E52" i="4"/>
  <c r="E51" i="4"/>
  <c r="E50" i="4"/>
  <c r="E48" i="4"/>
  <c r="E47" i="4"/>
  <c r="E46" i="4"/>
  <c r="E45" i="4"/>
  <c r="C45" i="4"/>
  <c r="D41" i="4"/>
  <c r="D39" i="4"/>
  <c r="F38" i="4"/>
  <c r="F39" i="4"/>
  <c r="E37" i="4"/>
  <c r="E36" i="4"/>
  <c r="E39" i="4"/>
  <c r="D36" i="4"/>
  <c r="C30" i="4"/>
  <c r="C29" i="4"/>
  <c r="C28" i="4"/>
  <c r="C19" i="4"/>
  <c r="C18" i="4"/>
  <c r="C17" i="4"/>
  <c r="C16" i="4"/>
  <c r="C14" i="4"/>
  <c r="C13" i="4"/>
  <c r="C12" i="4"/>
  <c r="C11" i="4"/>
  <c r="C10" i="4"/>
  <c r="C9" i="4"/>
  <c r="C8" i="4"/>
  <c r="C7" i="4"/>
  <c r="F11" i="2"/>
  <c r="G11" i="2" s="1"/>
  <c r="H11" i="2" s="1"/>
  <c r="F12" i="2"/>
  <c r="G12" i="2" s="1"/>
  <c r="H12" i="2" s="1"/>
  <c r="I12" i="2" s="1"/>
  <c r="J12" i="2" s="1"/>
  <c r="F4" i="2"/>
  <c r="G4" i="2" s="1"/>
  <c r="H4" i="2" s="1"/>
  <c r="H87" i="2"/>
  <c r="H86" i="2"/>
  <c r="J86" i="2" s="1"/>
  <c r="H85" i="2"/>
  <c r="H77" i="2"/>
  <c r="H76" i="2"/>
  <c r="H75" i="2"/>
  <c r="H74" i="2"/>
  <c r="G69" i="2"/>
  <c r="G68" i="2"/>
  <c r="H68" i="2"/>
  <c r="G59" i="2"/>
  <c r="G61" i="2"/>
  <c r="H61" i="2" s="1"/>
  <c r="I61" i="2" s="1"/>
  <c r="J61" i="2" s="1"/>
  <c r="G63" i="2"/>
  <c r="G64" i="2"/>
  <c r="G65" i="2"/>
  <c r="G51" i="2"/>
  <c r="H51" i="2"/>
  <c r="I51" i="2" s="1"/>
  <c r="J51" i="2" s="1"/>
  <c r="G52" i="2"/>
  <c r="H52" i="2"/>
  <c r="I52" i="2" s="1"/>
  <c r="J52" i="2" s="1"/>
  <c r="G53" i="2"/>
  <c r="H53" i="2" s="1"/>
  <c r="I53" i="2" s="1"/>
  <c r="J53" i="2" s="1"/>
  <c r="G49" i="2"/>
  <c r="H49" i="2" s="1"/>
  <c r="G42" i="2"/>
  <c r="H42" i="2"/>
  <c r="G43" i="2"/>
  <c r="G46" i="2"/>
  <c r="H46" i="2" s="1"/>
  <c r="I46" i="2" s="1"/>
  <c r="J46" i="2" s="1"/>
  <c r="G38" i="2"/>
  <c r="G35" i="2"/>
  <c r="H35" i="2" s="1"/>
  <c r="I35" i="2" s="1"/>
  <c r="J35" i="2" s="1"/>
  <c r="G23" i="2"/>
  <c r="D19" i="2"/>
  <c r="D43" i="2"/>
  <c r="H43" i="2" s="1"/>
  <c r="I43" i="2" s="1"/>
  <c r="J43" i="2" s="1"/>
  <c r="D44" i="2"/>
  <c r="F41" i="2"/>
  <c r="G41" i="2" s="1"/>
  <c r="H41" i="2" s="1"/>
  <c r="D45" i="2"/>
  <c r="F8" i="2"/>
  <c r="G8" i="2" s="1"/>
  <c r="H8" i="2" s="1"/>
  <c r="I8" i="2" s="1"/>
  <c r="J8" i="2" s="1"/>
  <c r="D5" i="2"/>
  <c r="D14" i="2"/>
  <c r="H14" i="2" s="1"/>
  <c r="I14" i="2" s="1"/>
  <c r="J14" i="2" s="1"/>
  <c r="F7" i="2"/>
  <c r="G7" i="2" s="1"/>
  <c r="H7" i="2" s="1"/>
  <c r="I7" i="2" s="1"/>
  <c r="J7" i="2" s="1"/>
  <c r="D21" i="2"/>
  <c r="D20" i="2"/>
  <c r="D18" i="2"/>
  <c r="F26" i="2"/>
  <c r="G26" i="2" s="1"/>
  <c r="H26" i="2" s="1"/>
  <c r="D23" i="2"/>
  <c r="H23" i="2" s="1"/>
  <c r="I23" i="2" s="1"/>
  <c r="J23" i="2" s="1"/>
  <c r="D62" i="2"/>
  <c r="D60" i="2"/>
  <c r="F62" i="2"/>
  <c r="G62" i="2" s="1"/>
  <c r="H62" i="2" s="1"/>
  <c r="I62" i="2" s="1"/>
  <c r="J62" i="2" s="1"/>
  <c r="F60" i="2"/>
  <c r="G60" i="2" s="1"/>
  <c r="H60" i="2" s="1"/>
  <c r="I60" i="2" s="1"/>
  <c r="J60" i="2" s="1"/>
  <c r="F33" i="2"/>
  <c r="G33" i="2" s="1"/>
  <c r="F50" i="2"/>
  <c r="G50" i="2" s="1"/>
  <c r="H50" i="2" s="1"/>
  <c r="I50" i="2" s="1"/>
  <c r="J50" i="2" s="1"/>
  <c r="F29" i="2"/>
  <c r="G29" i="2" s="1"/>
  <c r="H29" i="2" s="1"/>
  <c r="I42" i="2"/>
  <c r="D35" i="2"/>
  <c r="J42" i="2"/>
  <c r="F14" i="2"/>
  <c r="G14" i="2" s="1"/>
  <c r="F13" i="2"/>
  <c r="G13" i="2" s="1"/>
  <c r="D35" i="3"/>
  <c r="D22" i="2" s="1"/>
  <c r="H22" i="2" s="1"/>
  <c r="I22" i="2" s="1"/>
  <c r="J22" i="2" s="1"/>
  <c r="F45" i="2"/>
  <c r="G45" i="2" s="1"/>
  <c r="H45" i="2" s="1"/>
  <c r="I45" i="2" s="1"/>
  <c r="J45" i="2" s="1"/>
  <c r="D59" i="2"/>
  <c r="F57" i="2"/>
  <c r="G57" i="2" s="1"/>
  <c r="F90" i="2"/>
  <c r="F82" i="2"/>
  <c r="F78" i="2"/>
  <c r="D7" i="2"/>
  <c r="C10" i="7"/>
  <c r="C13" i="7"/>
  <c r="B21" i="7"/>
  <c r="F13" i="7"/>
  <c r="F14" i="7" s="1"/>
  <c r="F15" i="7" s="1"/>
  <c r="E13" i="7"/>
  <c r="D13" i="7"/>
  <c r="D15" i="7" s="1"/>
  <c r="B25" i="7"/>
  <c r="B26" i="7"/>
  <c r="D12" i="2"/>
  <c r="F44" i="2"/>
  <c r="G44" i="2" s="1"/>
  <c r="D6" i="2"/>
  <c r="J15" i="2"/>
  <c r="D64" i="2"/>
  <c r="I87" i="2"/>
  <c r="F30" i="2"/>
  <c r="G30" i="2"/>
  <c r="H30" i="2" s="1"/>
  <c r="I30" i="2" s="1"/>
  <c r="J30" i="2" s="1"/>
  <c r="D30" i="2"/>
  <c r="F31" i="2"/>
  <c r="F32" i="2"/>
  <c r="G32" i="2" s="1"/>
  <c r="F34" i="2"/>
  <c r="G34" i="2" s="1"/>
  <c r="F73" i="2"/>
  <c r="G73" i="2"/>
  <c r="H73" i="2"/>
  <c r="I74" i="2"/>
  <c r="J74" i="2" s="1"/>
  <c r="J75" i="2"/>
  <c r="J76" i="2"/>
  <c r="J77" i="2"/>
  <c r="F18" i="2"/>
  <c r="G18" i="2" s="1"/>
  <c r="F19" i="2"/>
  <c r="G19" i="2" s="1"/>
  <c r="H19" i="2" s="1"/>
  <c r="I19" i="2" s="1"/>
  <c r="J19" i="2" s="1"/>
  <c r="F20" i="2"/>
  <c r="G20" i="2" s="1"/>
  <c r="F21" i="2"/>
  <c r="G21" i="2"/>
  <c r="F22" i="2"/>
  <c r="G22" i="2"/>
  <c r="F56" i="2"/>
  <c r="G56" i="2" s="1"/>
  <c r="D1" i="3"/>
  <c r="L2" i="2"/>
  <c r="C2" i="2"/>
  <c r="B1" i="3"/>
  <c r="G31" i="2"/>
  <c r="H31" i="2" s="1"/>
  <c r="I31" i="2" s="1"/>
  <c r="J31" i="2" s="1"/>
  <c r="H79" i="2"/>
  <c r="I85" i="2"/>
  <c r="I91" i="2" s="1"/>
  <c r="H91" i="2"/>
  <c r="D38" i="2"/>
  <c r="H38" i="2" s="1"/>
  <c r="D34" i="2"/>
  <c r="D32" i="2"/>
  <c r="D33" i="2"/>
  <c r="I86" i="2"/>
  <c r="I76" i="2"/>
  <c r="I75" i="2"/>
  <c r="D63" i="2"/>
  <c r="D69" i="2" s="1"/>
  <c r="D13" i="2"/>
  <c r="H13" i="2" s="1"/>
  <c r="I13" i="2" s="1"/>
  <c r="J13" i="2" s="1"/>
  <c r="J85" i="2"/>
  <c r="D65" i="2"/>
  <c r="I68" i="2"/>
  <c r="I15" i="2"/>
  <c r="J87" i="2"/>
  <c r="I73" i="2"/>
  <c r="I79" i="2"/>
  <c r="J68" i="2"/>
  <c r="J73" i="2"/>
  <c r="H65" i="2" l="1"/>
  <c r="I65" i="2" s="1"/>
  <c r="J65" i="2" s="1"/>
  <c r="H64" i="2"/>
  <c r="I64" i="2" s="1"/>
  <c r="J64" i="2" s="1"/>
  <c r="H63" i="2"/>
  <c r="I63" i="2" s="1"/>
  <c r="J63" i="2" s="1"/>
  <c r="H34" i="2"/>
  <c r="I34" i="2" s="1"/>
  <c r="J34" i="2" s="1"/>
  <c r="H33" i="2"/>
  <c r="I33" i="2" s="1"/>
  <c r="J33" i="2" s="1"/>
  <c r="H59" i="2"/>
  <c r="I59" i="2" s="1"/>
  <c r="J59" i="2" s="1"/>
  <c r="F27" i="2"/>
  <c r="H56" i="2"/>
  <c r="H20" i="2"/>
  <c r="I20" i="2" s="1"/>
  <c r="J20" i="2" s="1"/>
  <c r="H32" i="2"/>
  <c r="I32" i="2" s="1"/>
  <c r="J32" i="2" s="1"/>
  <c r="H21" i="2"/>
  <c r="I21" i="2" s="1"/>
  <c r="J21" i="2" s="1"/>
  <c r="H57" i="2"/>
  <c r="I57" i="2" s="1"/>
  <c r="J57" i="2" s="1"/>
  <c r="J58" i="2" s="1"/>
  <c r="H18" i="2"/>
  <c r="I11" i="2"/>
  <c r="H16" i="2"/>
  <c r="I49" i="2"/>
  <c r="H54" i="2"/>
  <c r="I29" i="2"/>
  <c r="H27" i="2"/>
  <c r="I26" i="2"/>
  <c r="H47" i="2"/>
  <c r="I41" i="2"/>
  <c r="J90" i="2"/>
  <c r="J91" i="2" s="1"/>
  <c r="H44" i="2"/>
  <c r="I44" i="2" s="1"/>
  <c r="J44" i="2" s="1"/>
  <c r="I56" i="2"/>
  <c r="J78" i="2"/>
  <c r="J79" i="2" s="1"/>
  <c r="I38" i="2"/>
  <c r="J38" i="2" s="1"/>
  <c r="J39" i="2" s="1"/>
  <c r="H39" i="2"/>
  <c r="I18" i="2"/>
  <c r="H69" i="2"/>
  <c r="H9" i="2"/>
  <c r="I4" i="2"/>
  <c r="I39" i="2"/>
  <c r="H14" i="7"/>
  <c r="H15" i="7" s="1"/>
  <c r="G14" i="7"/>
  <c r="G15" i="7"/>
  <c r="C15" i="7"/>
  <c r="C14" i="7"/>
  <c r="H36" i="2" l="1"/>
  <c r="H66" i="2"/>
  <c r="H24" i="2"/>
  <c r="I66" i="2"/>
  <c r="J56" i="2"/>
  <c r="J66" i="2" s="1"/>
  <c r="J49" i="2"/>
  <c r="J54" i="2" s="1"/>
  <c r="I54" i="2"/>
  <c r="J41" i="2"/>
  <c r="J47" i="2" s="1"/>
  <c r="I47" i="2"/>
  <c r="J4" i="2"/>
  <c r="J9" i="2" s="1"/>
  <c r="I9" i="2"/>
  <c r="I69" i="2"/>
  <c r="H71" i="2"/>
  <c r="J26" i="2"/>
  <c r="J27" i="2" s="1"/>
  <c r="J95" i="2" s="1"/>
  <c r="I27" i="2"/>
  <c r="J11" i="2"/>
  <c r="J16" i="2" s="1"/>
  <c r="I16" i="2"/>
  <c r="I36" i="2"/>
  <c r="J29" i="2"/>
  <c r="J36" i="2" s="1"/>
  <c r="J18" i="2"/>
  <c r="J24" i="2" s="1"/>
  <c r="I24" i="2"/>
  <c r="B16" i="7"/>
  <c r="B18" i="7" s="1"/>
  <c r="B19" i="7" s="1"/>
  <c r="B28" i="7" s="1"/>
  <c r="I71" i="2" l="1"/>
  <c r="J69" i="2"/>
  <c r="J71" i="2" s="1"/>
  <c r="F81" i="2"/>
  <c r="G81" i="2"/>
  <c r="I81" i="2" l="1"/>
  <c r="I83" i="2" s="1"/>
  <c r="I93" i="2" s="1"/>
  <c r="J81" i="2"/>
  <c r="H81" i="2"/>
  <c r="H83" i="2" s="1"/>
  <c r="H93" i="2" s="1"/>
  <c r="J82" i="2" l="1"/>
  <c r="J83" i="2" s="1"/>
  <c r="J96" i="2" l="1"/>
  <c r="J93" i="2"/>
  <c r="J9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D1" authorId="0" shapeId="0" xr:uid="{00000000-0006-0000-0100-000001000000}">
      <text>
        <r>
          <rPr>
            <sz val="9"/>
            <color indexed="81"/>
            <rFont val="Tahoma"/>
            <family val="2"/>
          </rPr>
          <t xml:space="preserve">
will be completed automatically</t>
        </r>
      </text>
    </comment>
    <comment ref="D35" authorId="0" shapeId="0" xr:uid="{00000000-0006-0000-0100-000002000000}">
      <text>
        <r>
          <rPr>
            <sz val="9"/>
            <color indexed="81"/>
            <rFont val="Tahoma"/>
            <family val="2"/>
          </rPr>
          <t>automatic calculation based on complexity level</t>
        </r>
      </text>
    </comment>
    <comment ref="B41" authorId="0" shapeId="0" xr:uid="{00000000-0006-0000-0100-000003000000}">
      <text>
        <r>
          <rPr>
            <sz val="9"/>
            <color indexed="81"/>
            <rFont val="Tahoma"/>
            <family val="2"/>
          </rPr>
          <t xml:space="preserve">Complexity level 1
- IMP or device can be used prescription based or purchased without further requirements
- The trial involves only 1 or 2 sites
- This level is to be used for proof of concept or pilot studies
Complexity level 2
- IMP or device can be used prescription based or purchased without further requirements (eg no kit number allocation);
- No extensive training programme for implementation of a new technique required (Training in the study protocol and study procedures do not qualify as intensive training)
Complexity level 3
- Manufacturing/purchasing/labelling* of study medication/placebo that has a marketing authorisation in Europe and is used within the label or off-label with provided this is established practice and supported by sufficient published evidence and/or guidelines
- Manufacturing/purchasing/labelling* of a class I or IIa medical device that is CE marked
- New (surgical, diagnostic, therapeutic) technique is applied that requires an extensive training programme of the sites
*Note that if the intervention can be purchased without any further requirements regarding packaging and labelling, complexity level 2 applies. 
Complexity level 4
- Drug repurposing studies requiring manufacturing/purchasing/labelling of study medication or medication for which there is no marketing authorisation in Europe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C15" authorId="0" shapeId="0" xr:uid="{EE4692A9-7BED-4B42-888A-3803A01AD44A}">
      <text>
        <r>
          <rPr>
            <b/>
            <sz val="9"/>
            <color indexed="81"/>
            <rFont val="Tahoma"/>
            <charset val="1"/>
          </rPr>
          <t>Nevens Hilde:</t>
        </r>
        <r>
          <rPr>
            <sz val="9"/>
            <color indexed="81"/>
            <rFont val="Tahoma"/>
            <charset val="1"/>
          </rPr>
          <t xml:space="preserve">
based on IFIC 15</t>
        </r>
      </text>
    </comment>
    <comment ref="A25" authorId="0" shapeId="0" xr:uid="{DE5698B1-4E22-4F16-9C8C-0E936661EF24}">
      <text>
        <r>
          <rPr>
            <b/>
            <sz val="9"/>
            <color indexed="81"/>
            <rFont val="Tahoma"/>
            <family val="2"/>
          </rPr>
          <t>Nevens Hilde:</t>
        </r>
        <r>
          <rPr>
            <sz val="9"/>
            <color indexed="81"/>
            <rFont val="Tahoma"/>
            <family val="2"/>
          </rPr>
          <t xml:space="preserve">
index of index of 01/06/2022:1,8845
index of 01/04/2020: 1,7410
multiplication by 1,0824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Nevens Hilde</author>
    <author>tc={E16C585A-2A77-40D7-B894-28E10DD4F956}</author>
    <author>tc={B083BAD5-C2F8-4290-B068-7D23A6AD80C2}</author>
  </authors>
  <commentList>
    <comment ref="F1" authorId="0" shapeId="0" xr:uid="{2026E177-AE77-4352-B2A1-4CC0B77C119A}">
      <text>
        <r>
          <rPr>
            <b/>
            <sz val="9"/>
            <color indexed="81"/>
            <rFont val="Tahoma"/>
            <charset val="1"/>
          </rPr>
          <t>Nevens Hilde:</t>
        </r>
        <r>
          <rPr>
            <sz val="9"/>
            <color indexed="81"/>
            <rFont val="Tahoma"/>
            <charset val="1"/>
          </rPr>
          <t xml:space="preserve">
hide this column in published version</t>
        </r>
      </text>
    </comment>
    <comment ref="D5" authorId="0" shapeId="0" xr:uid="{00000000-0006-0000-0400-000001000000}">
      <text>
        <r>
          <rPr>
            <sz val="9"/>
            <color indexed="81"/>
            <rFont val="Tahoma"/>
            <family val="2"/>
          </rPr>
          <t>adapt with number of planned on site visits</t>
        </r>
      </text>
    </comment>
    <comment ref="D6" authorId="0" shapeId="0" xr:uid="{00000000-0006-0000-0400-000002000000}">
      <text>
        <r>
          <rPr>
            <sz val="9"/>
            <color indexed="81"/>
            <rFont val="Tahoma"/>
            <family val="2"/>
          </rPr>
          <t>adapt with number of remote visits</t>
        </r>
      </text>
    </comment>
    <comment ref="B14" authorId="1" shapeId="0" xr:uid="{E16C585A-2A77-40D7-B894-28E10DD4F956}">
      <text>
        <t>[Threaded comment]
Your version of Excel allows you to read this threaded comment; however, any edits to it will get removed if the file is opened in a newer version of Excel. Learn more: https://go.microsoft.com/fwlink/?linkid=870924
Comment:
    You would not write in Eudract or clinicaltrials.gov</t>
      </text>
    </comment>
    <comment ref="B73" authorId="2" shapeId="0" xr:uid="{B083BAD5-C2F8-4290-B068-7D23A6AD80C2}">
      <text>
        <t>[Threaded comment]
Your version of Excel allows you to read this threaded comment; however, any edits to it will get removed if the file is opened in a newer version of Excel. Learn more: https://go.microsoft.com/fwlink/?linkid=870924
Comment:
    I would explain more what you are expecting here since it could be interprete as site pharmacy costs.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C10" authorId="0" shapeId="0" xr:uid="{00000000-0006-0000-0500-000001000000}">
      <text>
        <r>
          <rPr>
            <sz val="9"/>
            <color indexed="81"/>
            <rFont val="Tahoma"/>
            <family val="2"/>
          </rPr>
          <t>includes time needed to complete EDGE at 1st visit</t>
        </r>
      </text>
    </comment>
    <comment ref="A14" authorId="0" shapeId="0" xr:uid="{00000000-0006-0000-0500-000002000000}">
      <text>
        <r>
          <rPr>
            <sz val="9"/>
            <color indexed="81"/>
            <rFont val="Tahoma"/>
            <family val="2"/>
          </rPr>
          <t>margin is only to be applied on FTE costs - not on costs for lab, imaging, FX costs, vouchers, ...</t>
        </r>
      </text>
    </comment>
  </commentList>
</comments>
</file>

<file path=xl/sharedStrings.xml><?xml version="1.0" encoding="utf-8"?>
<sst xmlns="http://schemas.openxmlformats.org/spreadsheetml/2006/main" count="569" uniqueCount="447">
  <si>
    <t>Units</t>
  </si>
  <si>
    <t>hours</t>
  </si>
  <si>
    <t>SUM</t>
  </si>
  <si>
    <t>2a</t>
  </si>
  <si>
    <t>No. of units</t>
  </si>
  <si>
    <t>Project Design and Set up</t>
  </si>
  <si>
    <t xml:space="preserve">2b </t>
  </si>
  <si>
    <t>Subject Insurance</t>
  </si>
  <si>
    <t>Study Initiation Visit</t>
  </si>
  <si>
    <t>Study Monitoring Visits</t>
  </si>
  <si>
    <t xml:space="preserve">8a </t>
  </si>
  <si>
    <t>Project Management</t>
  </si>
  <si>
    <t xml:space="preserve">8b </t>
  </si>
  <si>
    <t>Shipment and Distribution Services</t>
  </si>
  <si>
    <t>Number of sites</t>
  </si>
  <si>
    <t>Study timelines</t>
  </si>
  <si>
    <t>Study team involved</t>
  </si>
  <si>
    <t>Position</t>
  </si>
  <si>
    <t>PM</t>
  </si>
  <si>
    <t>CRA</t>
  </si>
  <si>
    <t>Overhead (in %) if applicable:</t>
  </si>
  <si>
    <t>VAT (in %) if applicable</t>
  </si>
  <si>
    <t>Other budget relevant info</t>
  </si>
  <si>
    <t>KCE Trial</t>
  </si>
  <si>
    <t>Quality Assurance</t>
  </si>
  <si>
    <t>5a</t>
  </si>
  <si>
    <t>Data Management</t>
  </si>
  <si>
    <t>Monitoring</t>
  </si>
  <si>
    <t>External vendor</t>
  </si>
  <si>
    <t>Team member</t>
  </si>
  <si>
    <t>TMF Handling &amp; Administration</t>
  </si>
  <si>
    <t>Closure Visit</t>
  </si>
  <si>
    <t>5b</t>
  </si>
  <si>
    <t>5c</t>
  </si>
  <si>
    <t>6a</t>
  </si>
  <si>
    <t>Liaison KCE and Project Status Reports</t>
  </si>
  <si>
    <t>3d</t>
  </si>
  <si>
    <t>3f</t>
  </si>
  <si>
    <t>5d</t>
  </si>
  <si>
    <t>5e</t>
  </si>
  <si>
    <t>5f</t>
  </si>
  <si>
    <t>11a</t>
  </si>
  <si>
    <t>11c</t>
  </si>
  <si>
    <t>11b</t>
  </si>
  <si>
    <t>12a</t>
  </si>
  <si>
    <t>11d</t>
  </si>
  <si>
    <t>7a</t>
  </si>
  <si>
    <t>Packaging, blinding, labelling</t>
  </si>
  <si>
    <t>IMP destruction &amp; recovery unused products</t>
  </si>
  <si>
    <t>11e</t>
  </si>
  <si>
    <t>11f</t>
  </si>
  <si>
    <t>Auditor</t>
  </si>
  <si>
    <t>Administration of Site Payments</t>
  </si>
  <si>
    <t>Archiving</t>
  </si>
  <si>
    <t>2d</t>
  </si>
  <si>
    <t>IMP/Intervention Handling</t>
  </si>
  <si>
    <t>IMP or intervention Accountability</t>
  </si>
  <si>
    <t>Site Costs</t>
  </si>
  <si>
    <t>once</t>
  </si>
  <si>
    <t>Study Parameters</t>
  </si>
  <si>
    <t>Budget Parameters</t>
  </si>
  <si>
    <t>CTA</t>
  </si>
  <si>
    <t>Procedure</t>
  </si>
  <si>
    <t>Treatment Phase</t>
  </si>
  <si>
    <t>Study Treat discontinuation/ Early Termination Visit</t>
  </si>
  <si>
    <t>FU Phase</t>
  </si>
  <si>
    <t>V1</t>
  </si>
  <si>
    <t>V2</t>
  </si>
  <si>
    <t>Informed consent</t>
  </si>
  <si>
    <t>Per Patient Cost</t>
  </si>
  <si>
    <t>General Site Costs</t>
  </si>
  <si>
    <t>start-up fee</t>
  </si>
  <si>
    <t>Overhead Hospital</t>
  </si>
  <si>
    <t>For all sites</t>
  </si>
  <si>
    <t>Cost (EURO)</t>
  </si>
  <si>
    <t>Actual Date</t>
  </si>
  <si>
    <t>1a</t>
  </si>
  <si>
    <t>1b</t>
  </si>
  <si>
    <t>1c</t>
  </si>
  <si>
    <t>Regulatory and Ethics Review</t>
  </si>
  <si>
    <t>2c</t>
  </si>
  <si>
    <t xml:space="preserve">Safety </t>
  </si>
  <si>
    <t>Statistics, report and publication</t>
  </si>
  <si>
    <t>Publication, incl revision</t>
  </si>
  <si>
    <t>9a</t>
  </si>
  <si>
    <t>Project Management (not included in the above headings)</t>
  </si>
  <si>
    <t>9b</t>
  </si>
  <si>
    <t>9c</t>
  </si>
  <si>
    <t>9d</t>
  </si>
  <si>
    <t>Storage &amp; distribution</t>
  </si>
  <si>
    <t>Sourcing of IMP/comparator/placebo/device (incl import license if appl)</t>
  </si>
  <si>
    <t>Study specific equipment</t>
  </si>
  <si>
    <t>hours/unit</t>
  </si>
  <si>
    <t>units</t>
  </si>
  <si>
    <t>unit</t>
  </si>
  <si>
    <t>V…</t>
  </si>
  <si>
    <t>Total general site costs/site</t>
  </si>
  <si>
    <t>Note that the information in this sheet should reflect the most recent version of the protocol - in case of discrepancies, the protocol will prevail</t>
  </si>
  <si>
    <t>CI</t>
  </si>
  <si>
    <t>EXT</t>
  </si>
  <si>
    <t>DM</t>
  </si>
  <si>
    <t>STAT</t>
  </si>
  <si>
    <t>Margin (in %) if applicable:</t>
  </si>
  <si>
    <t>Study Training - CRAs</t>
  </si>
  <si>
    <t>Administration and Documentation during trial</t>
  </si>
  <si>
    <t>TMF Preparation at start</t>
  </si>
  <si>
    <t>Investigator Study File at start</t>
  </si>
  <si>
    <t xml:space="preserve">Comments, typical values as guidance </t>
  </si>
  <si>
    <t>Collaborator/site contracts (set-up, negotiation and finalisation)</t>
  </si>
  <si>
    <t>up to 16h per CRA</t>
  </si>
  <si>
    <t>Site payment calculation</t>
  </si>
  <si>
    <t>3b</t>
  </si>
  <si>
    <t>3c</t>
  </si>
  <si>
    <t>5g</t>
  </si>
  <si>
    <t>KCE number</t>
  </si>
  <si>
    <t xml:space="preserve"> (assigned when selected)</t>
  </si>
  <si>
    <t>Margin incl</t>
  </si>
  <si>
    <t>Overhead incl</t>
  </si>
  <si>
    <t>Overall Cost total</t>
  </si>
  <si>
    <t>DBL (Data Base Lock)</t>
  </si>
  <si>
    <t>CSR (Clinical Study Report)</t>
  </si>
  <si>
    <t>DD/MM/YYYY</t>
  </si>
  <si>
    <t>Study Title</t>
  </si>
  <si>
    <t>KCE Reference</t>
  </si>
  <si>
    <t>Protocol version</t>
  </si>
  <si>
    <t>cells in yellow are to be completed</t>
  </si>
  <si>
    <t>Budget version date</t>
  </si>
  <si>
    <t>Add other roles if relevant</t>
  </si>
  <si>
    <t>HE</t>
  </si>
  <si>
    <t>Planned number of remote monitoring contacts per site (for the total duration of the study)</t>
  </si>
  <si>
    <t>Planned number of on-site monitoring visits per site (for the total duration of the study)</t>
  </si>
  <si>
    <t>2e</t>
  </si>
  <si>
    <t>Total duration of the project (in years)</t>
  </si>
  <si>
    <t>SN</t>
  </si>
  <si>
    <t>PI</t>
  </si>
  <si>
    <t xml:space="preserve"> </t>
  </si>
  <si>
    <t>only occasionally applicable</t>
  </si>
  <si>
    <t>typically 4h per file</t>
  </si>
  <si>
    <t>Pharm</t>
  </si>
  <si>
    <t>Co CI</t>
  </si>
  <si>
    <t>PI nonMD</t>
  </si>
  <si>
    <t>per site</t>
  </si>
  <si>
    <t>3e</t>
  </si>
  <si>
    <t>Statistical analysis plan, randomisation and statistical programming</t>
  </si>
  <si>
    <t>8c</t>
  </si>
  <si>
    <t>• Generation of tables and listings
• Statistical analysis and report
• Clinical Study Report</t>
  </si>
  <si>
    <t>for initial meeting</t>
  </si>
  <si>
    <t>Investigator Meeting(s), results</t>
  </si>
  <si>
    <t>Study Team Meeting/Trial Management Group Meeting, included time from PM, CRA, CTA, CI</t>
  </si>
  <si>
    <t>Investigator Meeting(s), subsequent meeting(s)</t>
  </si>
  <si>
    <t>Project Manager</t>
  </si>
  <si>
    <t>Clinical Research Associate</t>
  </si>
  <si>
    <t>Chief Investigator</t>
  </si>
  <si>
    <t>Co-Chief Investigator</t>
  </si>
  <si>
    <t>Clinical Trial Administrator</t>
  </si>
  <si>
    <t>Statistician</t>
  </si>
  <si>
    <t>Data Manager</t>
  </si>
  <si>
    <t>Study Nurse</t>
  </si>
  <si>
    <t>Health Economist</t>
  </si>
  <si>
    <t>Principal Investigator</t>
  </si>
  <si>
    <t>Pharmacist</t>
  </si>
  <si>
    <t>Principal Investigator non MD</t>
  </si>
  <si>
    <t>IMP or placebo dispensing  if applicable</t>
  </si>
  <si>
    <t>Physician time</t>
  </si>
  <si>
    <t>Study Coordinator time (data entry)</t>
  </si>
  <si>
    <t>Total duration of the project FPI to CSR (in months):</t>
  </si>
  <si>
    <t>Total duration of the project where monitoring is needed FPI to DBL (in months):</t>
  </si>
  <si>
    <t>Recruitment period (in months)</t>
  </si>
  <si>
    <t>FX</t>
  </si>
  <si>
    <t>External vendors/contractors/central review/other</t>
  </si>
  <si>
    <t>Off-site monitoring and site contacts</t>
  </si>
  <si>
    <t>Patient and Public Involvement</t>
  </si>
  <si>
    <t>10a</t>
  </si>
  <si>
    <t>10b</t>
  </si>
  <si>
    <t>13a</t>
  </si>
  <si>
    <t>13b</t>
  </si>
  <si>
    <t>13c</t>
  </si>
  <si>
    <t>Patient involvement in study project design and set-up</t>
  </si>
  <si>
    <t>Patient involvement in Trial Steering Committee Meetings</t>
  </si>
  <si>
    <t>7b</t>
  </si>
  <si>
    <t>• Data Coding AEs
• Data Coding Medication
• Data validation &amp; QC
• Importation of data ( ECG, lab, etc.)
• Programming of queries
• Running query software, cleaning and distributing queries
• Query Resolution
• Database lock</t>
  </si>
  <si>
    <t>Other activities for patient involvment (if applicable)</t>
  </si>
  <si>
    <t>mtg</t>
  </si>
  <si>
    <t>1d</t>
  </si>
  <si>
    <t>9f</t>
  </si>
  <si>
    <t>9g</t>
  </si>
  <si>
    <t>9h</t>
  </si>
  <si>
    <t>10c</t>
  </si>
  <si>
    <r>
      <rPr>
        <b/>
        <sz val="10"/>
        <rFont val="Wingdings"/>
        <charset val="2"/>
      </rPr>
      <t>0</t>
    </r>
    <r>
      <rPr>
        <b/>
        <sz val="10"/>
        <rFont val="Arial"/>
        <family val="2"/>
      </rPr>
      <t xml:space="preserve"> Tab budget parameters</t>
    </r>
    <r>
      <rPr>
        <sz val="10"/>
        <rFont val="Arial"/>
        <family val="2"/>
      </rPr>
      <t xml:space="preserve">
- This tab contains the costs for the personnel involved in the trial based on KCE report 178 https://kce.fgov.be/publication/report/manual-for-cost-based-pricing-of-hospital-interventions. 
- These values should not be changed without the prior agreement of KCE Trials.</t>
    </r>
  </si>
  <si>
    <r>
      <rPr>
        <b/>
        <sz val="10"/>
        <rFont val="Wingdings"/>
        <charset val="2"/>
      </rPr>
      <t>0</t>
    </r>
    <r>
      <rPr>
        <b/>
        <sz val="10"/>
        <rFont val="Arial"/>
        <family val="2"/>
      </rPr>
      <t xml:space="preserve"> Tab study parameters</t>
    </r>
    <r>
      <rPr>
        <sz val="10"/>
        <rFont val="Arial"/>
        <family val="2"/>
      </rPr>
      <t xml:space="preserve">
- Cells in yellow should be completed to the specifications of your trial.
- These data are linked to formulas in the other tabs. Do not remove or add lines in this tab.
</t>
    </r>
  </si>
  <si>
    <r>
      <rPr>
        <b/>
        <sz val="10"/>
        <rFont val="Wingdings"/>
        <charset val="2"/>
      </rPr>
      <t>0</t>
    </r>
    <r>
      <rPr>
        <b/>
        <sz val="10"/>
        <rFont val="Arial"/>
        <family val="2"/>
      </rPr>
      <t xml:space="preserve"> Tab overall costs</t>
    </r>
    <r>
      <rPr>
        <sz val="10"/>
        <rFont val="Arial"/>
        <family val="2"/>
      </rPr>
      <t xml:space="preserve">
- This tab needs to be completed with the estimated budget for the whole trial. For some of the activities, KCE has proposed a fixed amount based on the above mentioned rates and real time estimations.
- In the case of a fixed amount (FX) the margin is already included - overhead only applies to FX if not outsourced.</t>
    </r>
  </si>
  <si>
    <t>box</t>
  </si>
  <si>
    <t>oth</t>
  </si>
  <si>
    <t>1h per site per payment, assuming 2 payments/yr
if not done by KCE</t>
  </si>
  <si>
    <t>version will be changed back to version 3.0 for publication on website</t>
  </si>
  <si>
    <t>3.1 version with correction for total (was without PPI amount) 
- added margin on data mgt (no FX but hr) 
- removed margin on all FX amounts (mtgs and site payment calculation) 
- added overhead on archiving
- corrected for totals of remote feasibility</t>
  </si>
  <si>
    <t>Transportation fee</t>
  </si>
  <si>
    <t>3/yr the first year, 2/yr consecutive yrs</t>
  </si>
  <si>
    <t>for subsequent meeting if relevant - detail number of meetings and rationale</t>
  </si>
  <si>
    <t>fee to cover transportation costs for monitoring visits, inlcudes any margin - overhead not applicable</t>
  </si>
  <si>
    <t>2-weekly meetings with team during recruitment period</t>
  </si>
  <si>
    <t>monthly meetings with team during FU period</t>
  </si>
  <si>
    <t>3.2 version 
- to add fee for transportation for monitoring visits (margin already included, OH does not apply)
- deleted the amount for the set up of a safety database
- adapted the formula for the database set-up (formula in line 7a was duplicated in line 7b)
- reduced the frequency for TSC in formula (3 first year + 2 consecutive years)
- reduced the amount for a TSC to 2000€
- adapted the meeting frequency of the TMG to 2-weekly during recruitment and monthly during FU
- deleted catering from external costs</t>
  </si>
  <si>
    <t>How to calculate the PM time</t>
  </si>
  <si>
    <r>
      <t>basis for each trial = 0,2 FTE</t>
    </r>
    <r>
      <rPr>
        <b/>
        <i/>
        <sz val="10"/>
        <rFont val="Arial"/>
        <family val="2"/>
      </rPr>
      <t>*</t>
    </r>
  </si>
  <si>
    <t>Per site 0,025 FTE to be added to the basis FTE up to 25 sites</t>
  </si>
  <si>
    <t>From 25 sites onwards, 0,0125 FTE for the # of sites&gt;25 to be added to the the first amount</t>
  </si>
  <si>
    <t>For GP trials, 0,00625 FTE to be added to the basis FTE per GP site</t>
  </si>
  <si>
    <t>Example for basic trial with 30 sites</t>
  </si>
  <si>
    <t>Example for basic trial with 15 sites</t>
  </si>
  <si>
    <t>Example for a GP trial with 100 sites</t>
  </si>
  <si>
    <t xml:space="preserve">Total FTE planned for line 9a </t>
  </si>
  <si>
    <t>The above calculation takes into account the active study period; for long term extension this should be devided by 2</t>
  </si>
  <si>
    <t>Scroll down for indication for budget for Project Management, Pharmacy Fees and Lab fees</t>
  </si>
  <si>
    <t>transit</t>
  </si>
  <si>
    <t>at pharmacy</t>
  </si>
  <si>
    <t>preparation medication</t>
  </si>
  <si>
    <t>per protocol</t>
  </si>
  <si>
    <t>individual delivery (medication / co-medication)</t>
  </si>
  <si>
    <t>individual delivery (medication / co-medication), + labelling if applicable</t>
  </si>
  <si>
    <t>by lab/site</t>
  </si>
  <si>
    <t>Blood sampling and sending to lab for central analysis</t>
  </si>
  <si>
    <t>Blood sampling, processing and sending to lab for central analysis</t>
  </si>
  <si>
    <t>If separate batches to be sent to central lab (cost per batch)</t>
  </si>
  <si>
    <t>Storage yearly fee (to be calculated for every 12 months after initiation visit, not calendar based) - FIX no margin</t>
  </si>
  <si>
    <t>start-up fee (includes reading protocol, setting up file, review contract, initiation and close out) - FIX no margin</t>
  </si>
  <si>
    <t>yearly fee (to be calculated for every 12 months after initiation visit, not calendar based, includes time for follow-up and maintenance of the file, monitoring  and storage of returned medication if applicable) - FIX no margin</t>
  </si>
  <si>
    <t>storage yearly fee (to be calculated for every 12 months after initiation visit, not calendar based)  - FIX no margin</t>
  </si>
  <si>
    <t>extra labelling if per batch and not per individual delivery -  - FIX no margin</t>
  </si>
  <si>
    <t>reception, check (transfer delivery if appl) -  - FIX no margin</t>
  </si>
  <si>
    <t>3.3 version
- corrected the formula regarding the transportation fee (# monitoring visits + 2) * # sites
- corrected the totals for data management
- corrected the number of non-leading sites with -1</t>
  </si>
  <si>
    <t>International trials 0,1 FTE</t>
  </si>
  <si>
    <t>Study specific time (not Standard of Care)</t>
  </si>
  <si>
    <t xml:space="preserve">Total </t>
  </si>
  <si>
    <t>per box</t>
  </si>
  <si>
    <t>1 box per site depending on number of patients</t>
  </si>
  <si>
    <t>3.4 version
- included a calculation for project management, pharmacy costs and lab costs in the tab budget parameters
- corrected the totals for monitoring
- included site cost demo
- replaced SAE by SUSAR</t>
  </si>
  <si>
    <t>List</t>
  </si>
  <si>
    <t>value</t>
  </si>
  <si>
    <t>low</t>
  </si>
  <si>
    <t>moderate</t>
  </si>
  <si>
    <t xml:space="preserve"> (select from list)</t>
  </si>
  <si>
    <t>GPs</t>
  </si>
  <si>
    <t>yes</t>
  </si>
  <si>
    <t>no</t>
  </si>
  <si>
    <t>FTE</t>
  </si>
  <si>
    <t>for the correct calculation see budget parameters, How to calculate PM time</t>
  </si>
  <si>
    <t>2 patients to attend each TSC</t>
  </si>
  <si>
    <r>
      <rPr>
        <b/>
        <sz val="10"/>
        <rFont val="Wingdings"/>
        <charset val="2"/>
      </rPr>
      <t>0</t>
    </r>
    <r>
      <rPr>
        <b/>
        <sz val="10"/>
        <rFont val="Arial"/>
        <family val="2"/>
      </rPr>
      <t xml:space="preserve"> Tab site costs</t>
    </r>
    <r>
      <rPr>
        <sz val="10"/>
        <rFont val="Arial"/>
        <family val="2"/>
      </rPr>
      <t xml:space="preserve">
- This tab can be completed with the estimated budget per study visit for the participating sites (which should be consistent with the table of trial visits and procedures in the protocol).
- The current lay-out is generic and should be made study specific.
- There are no links between this tab and the overall cost tab.</t>
    </r>
  </si>
  <si>
    <t>Comments from sponsor</t>
  </si>
  <si>
    <t>payments</t>
  </si>
  <si>
    <t>DSMB Meetings &amp; FU (if needed), includes time for preparation by statistician</t>
  </si>
  <si>
    <t>Central Review</t>
  </si>
  <si>
    <r>
      <t xml:space="preserve">KCE approved fees for pharmacy activities in clincial trials - </t>
    </r>
    <r>
      <rPr>
        <b/>
        <sz val="10"/>
        <rFont val="Arial"/>
        <family val="2"/>
      </rPr>
      <t>to be used for site costs calculation if applicable</t>
    </r>
  </si>
  <si>
    <r>
      <t xml:space="preserve">KCE approved fees for laboratory activities in clincial trials - </t>
    </r>
    <r>
      <rPr>
        <b/>
        <sz val="10"/>
        <rFont val="Arial"/>
        <family val="2"/>
      </rPr>
      <t>to be used for site costs calculation if applicable</t>
    </r>
  </si>
  <si>
    <t>fixed amount per monitoring visit margin included, no overhead</t>
  </si>
  <si>
    <t>Investigator Meeting(s), initial meeting includes time from PM, CI, STAT, CRA, CTA, other</t>
  </si>
  <si>
    <t>per payment per site checked by CRA and DM, confirmed by PM, assuming 2 payments/yr</t>
  </si>
  <si>
    <t>Screening/Randomisation</t>
  </si>
  <si>
    <t>9i</t>
  </si>
  <si>
    <t>per site 0,01</t>
  </si>
  <si>
    <t>3.5 version
- merged the rows of DSMB
- minor adjustments in text
- reduced fee for communication with authorities
- increased fee for SUSAR reporting
- deleted amout for reconciliation of SAEs
- included feed for automatic calculation PM time in tab overall costs
- deleted EDGE fee as separate line in tool
- reduced fee for reporting to autorities to 1000 € per year
- reduced fee for randomisation to max 1500 € if not managed by eCRF
- increased fee for PPI at study start</t>
  </si>
  <si>
    <t>Margin</t>
  </si>
  <si>
    <t>Budget
hourly fee - FX</t>
  </si>
  <si>
    <t>version 4.0 created for publication on the website (call 2019)</t>
  </si>
  <si>
    <t>VAT on IMP/Intervention if applicable</t>
  </si>
  <si>
    <t>%</t>
  </si>
  <si>
    <t>only include if VAT is not deductible for your institution - otherwise delete this line</t>
  </si>
  <si>
    <t>4.1 version
- modified formula for project management (extra line for GP involvement)</t>
  </si>
  <si>
    <t>4.2 version
- VAT lines added for section 11, 12 and 13</t>
  </si>
  <si>
    <t>VAT on site costs</t>
  </si>
  <si>
    <t>VAT on external services</t>
  </si>
  <si>
    <t>9j</t>
  </si>
  <si>
    <t>Project Management (not included in the above headings) - for support Co-Chief investigator team (FR/NL as applicable)</t>
  </si>
  <si>
    <t>VAT on line 9b</t>
  </si>
  <si>
    <t>5.0
- final version for 2020 call
- added line 2f for reporting to EudraCT of study results (line subject insurance becomes 2g)
- cost for payment calcumation reduced to 100€ per payment round
- line added to account for costs for support from co-chief investigator from other language group in Project Management</t>
  </si>
  <si>
    <t>7c</t>
  </si>
  <si>
    <t>Hosting of the database</t>
  </si>
  <si>
    <t>7d</t>
  </si>
  <si>
    <t>7e</t>
  </si>
  <si>
    <t>7f</t>
  </si>
  <si>
    <t>• Design of Clinical Trial Database
• Design of eCRF
• Validation of eCRF
• Design of Safety Database
• Data Management Plan
• Updates during the study
• User management
• Archiving of the database</t>
  </si>
  <si>
    <t>enter "1" in column D if applicable</t>
  </si>
  <si>
    <t xml:space="preserve">index: https://www.loonindex.be/data </t>
  </si>
  <si>
    <t>march 2020 = 1,7410 verus budget tool july 2017 = 1,6406 - factor x1,04 to be applied on budget parameters and fixed amounts</t>
  </si>
  <si>
    <t>1e</t>
  </si>
  <si>
    <t>General complexity level of the trial</t>
  </si>
  <si>
    <t>Data Complexity</t>
  </si>
  <si>
    <t>General Complexity</t>
  </si>
  <si>
    <t>There are 4 complexity levels that will drive the costs of the trial; in general pragmatic trials will be level 2 or 3. For more information, check the budget guidelines</t>
  </si>
  <si>
    <t>application of complexity levels that will drive costs for set-up, monitoring, project management and data management</t>
  </si>
  <si>
    <t>added website and promotional material</t>
  </si>
  <si>
    <t>Initial non-leading Ethics Committee submission/written statement</t>
  </si>
  <si>
    <t>Initial Leading Ethics Committee submission/Competent Authorities (CTR if applicable)</t>
  </si>
  <si>
    <t>Communication with EC and authorities during the Project</t>
  </si>
  <si>
    <t>12h - 20h per visit</t>
  </si>
  <si>
    <t>8h - 16h per visit</t>
  </si>
  <si>
    <t>8h -16h per site per year</t>
  </si>
  <si>
    <t>up to 2 per year, if not linked to TSC</t>
  </si>
  <si>
    <t>Endpoint adjudication preparation (if applicable)</t>
  </si>
  <si>
    <t>Expected number of endpoints to be adjudicated</t>
  </si>
  <si>
    <t>Costs for data linkage (in case national number is used to link administrative databases and study data)</t>
  </si>
  <si>
    <t>Use of electronic questionnaires, randomisation (Codes, IXRS,…), kit management and integration into eCRF or other platforms linked to the eCRF</t>
  </si>
  <si>
    <t>enter the number of  platforms communicating with the eCRF in column D if applicable - includes costs for module and integration into eCRF</t>
  </si>
  <si>
    <t>monthly calls</t>
  </si>
  <si>
    <t>added layer for IMP and non SoC assessments: differentiation for contracting costs, payment calculation and monitoring</t>
  </si>
  <si>
    <t>changed status reporting to FX monthly fee</t>
  </si>
  <si>
    <t>9e</t>
  </si>
  <si>
    <t>added additional lines for data management, adjusted for complexity</t>
  </si>
  <si>
    <t>DSMB to be installed</t>
  </si>
  <si>
    <t>site costs as detailed in the tab site costs</t>
  </si>
  <si>
    <t>TAB</t>
  </si>
  <si>
    <t>amount is copied form tab sites costs containing detailed info on the calculation</t>
  </si>
  <si>
    <t>Add lines for other costs if applicable</t>
  </si>
  <si>
    <t>Reporting of study results in EudraCT (where applicable)</t>
  </si>
  <si>
    <t>Sponsor Costs for milestones</t>
  </si>
  <si>
    <t>Based on activity or service performed</t>
  </si>
  <si>
    <t>Develop and maintain website and recruitment materials and tools</t>
  </si>
  <si>
    <t>including hosting fee (200€/yr)</t>
  </si>
  <si>
    <t>8d</t>
  </si>
  <si>
    <t>Supplementary Database lock / Analysis of Long Term Follow-Up/Report</t>
  </si>
  <si>
    <r>
      <t xml:space="preserve">Trial with
</t>
    </r>
    <r>
      <rPr>
        <sz val="10"/>
        <rFont val="Arial"/>
        <family val="2"/>
      </rPr>
      <t xml:space="preserve">- </t>
    </r>
    <r>
      <rPr>
        <b/>
        <sz val="10"/>
        <rFont val="Arial"/>
        <family val="2"/>
      </rPr>
      <t>IMP</t>
    </r>
    <r>
      <rPr>
        <sz val="10"/>
        <rFont val="Arial"/>
        <family val="2"/>
      </rPr>
      <t xml:space="preserve"> (Investigational Medicinal Product) or </t>
    </r>
    <r>
      <rPr>
        <b/>
        <sz val="10"/>
        <rFont val="Arial"/>
        <family val="2"/>
      </rPr>
      <t>MD</t>
    </r>
    <r>
      <rPr>
        <sz val="10"/>
        <rFont val="Arial"/>
        <family val="2"/>
      </rPr>
      <t xml:space="preserve"> (Medical Device) if not prescription based</t>
    </r>
    <r>
      <rPr>
        <strike/>
        <sz val="10"/>
        <rFont val="Arial"/>
        <family val="2"/>
      </rPr>
      <t xml:space="preserve">
</t>
    </r>
    <r>
      <rPr>
        <sz val="10"/>
        <rFont val="Arial"/>
        <family val="2"/>
      </rPr>
      <t>- Non standard of care local lab analysis/imaging/technical assessments</t>
    </r>
  </si>
  <si>
    <t>added adjudication if needed for endpoint evaluation</t>
  </si>
  <si>
    <t>added need for DSMB</t>
  </si>
  <si>
    <t>added start-up fee for lab</t>
  </si>
  <si>
    <t>margin reduced to 10%</t>
  </si>
  <si>
    <t>simplified ethics and regulatory section taking into account CTR and IMP involvement</t>
  </si>
  <si>
    <t>development of monitoing plan added to the design and set-up</t>
  </si>
  <si>
    <t>2 hours per expected endpoint</t>
  </si>
  <si>
    <t>additional line added for additional stat analysis if required by the protocol</t>
  </si>
  <si>
    <t>Enter the number of additional database locks according to the agreed analysis plan</t>
  </si>
  <si>
    <t>8h - 20h per visit</t>
  </si>
  <si>
    <t>3a</t>
  </si>
  <si>
    <t>8e</t>
  </si>
  <si>
    <t>Publication of the protocol</t>
  </si>
  <si>
    <t>6.0 (final version call 2021)</t>
  </si>
  <si>
    <t>6.1 (minor changes - version for 2022 call)</t>
  </si>
  <si>
    <t>added fee for protocol publication in section statistics</t>
  </si>
  <si>
    <t>Trial subject to Clinical Trial Regulation</t>
  </si>
  <si>
    <t>13d</t>
  </si>
  <si>
    <t>Vouchers (between 15€ and 25€ depending on travel and time expenses)</t>
  </si>
  <si>
    <t>Info in this tab is a demo. 
Please adapt according to your protocol!</t>
  </si>
  <si>
    <t>adjusted formulas to calculate totals per category where needed</t>
  </si>
  <si>
    <t>moved the vouchers from the site costs to the external costs</t>
  </si>
  <si>
    <t>maximum fee for the publication of the protocol - not part of the milestones - paid when protocol has been published based on invoice provided</t>
  </si>
  <si>
    <t>Number of participants completing</t>
  </si>
  <si>
    <t>Number of participants</t>
  </si>
  <si>
    <t>Number of participants screened</t>
  </si>
  <si>
    <t>Number of participants randomised</t>
  </si>
  <si>
    <t>Number of visits per participant</t>
  </si>
  <si>
    <t>e.g. 3h per contact per site - but will depend on risk assessment, number of participants, number of data points - to be adapted in formula depending on study
can be performed by data manager or CRA</t>
  </si>
  <si>
    <t>set at 2h per participant. Depending on complexity, IMP involvement, trials with a long term follow-up or very limited or very marge number of data points: adjust formula (see guidelines)</t>
  </si>
  <si>
    <t>• Clinical Study Protocol incl stats, economic input, any rework, meetings
• Participant Information and Consent including translations (FR, ENG, NL)
• Budget calculation
• KCE contract negotiation and status updates
• Development of Plans (Risk Assessment and Risk Management Plan, Monitoring Plan, Data Management Plan, Safety Management Plan, Communication Plan, ...)
• Amendments</t>
  </si>
  <si>
    <t>Cost per completed participant</t>
  </si>
  <si>
    <t>Total cost per participant</t>
  </si>
  <si>
    <t>Total cost for all participants</t>
  </si>
  <si>
    <t xml:space="preserve">Total cost (participants and general) </t>
  </si>
  <si>
    <t>13e</t>
  </si>
  <si>
    <t>13f</t>
  </si>
  <si>
    <t>Cost related to purchasing and uploading of vouchers</t>
  </si>
  <si>
    <t>12b</t>
  </si>
  <si>
    <t>4a</t>
  </si>
  <si>
    <t>adjusted column A with correct numbering</t>
  </si>
  <si>
    <t>Site selection including feasibility assessment/visit - remote</t>
  </si>
  <si>
    <t>Site selection including feasibility assessment/visit - on site</t>
  </si>
  <si>
    <t>Trial with GPs/non-hospital setting</t>
  </si>
  <si>
    <t>15 mins of physician time added in stead of 10 mins</t>
  </si>
  <si>
    <t>Index</t>
  </si>
  <si>
    <t>Unit cost (call 2021 - 01/04/2020)</t>
  </si>
  <si>
    <t>Hourly rate
basis index 01/04/2020</t>
  </si>
  <si>
    <t>Indexed (01/06/2022)</t>
  </si>
  <si>
    <t>basis 01/04/2020</t>
  </si>
  <si>
    <t>Start-Up</t>
  </si>
  <si>
    <t>indexed (01/06/2022)</t>
  </si>
  <si>
    <t>basis 
(01/04/2020 index)</t>
  </si>
  <si>
    <t>indexed</t>
  </si>
  <si>
    <t>Protocol development 1</t>
  </si>
  <si>
    <t>Protocol development 2</t>
  </si>
  <si>
    <t>Protocol development 3</t>
  </si>
  <si>
    <t>Protocol development 4</t>
  </si>
  <si>
    <t>Feasibility Visit when IMP/lab/external services involved - on site</t>
  </si>
  <si>
    <t>Feasibility Visit with no involvement of external services or non-hospital setting - on site</t>
  </si>
  <si>
    <t>Feasibility Visit when IMP/lab/external services involved - remote</t>
  </si>
  <si>
    <t>Feasibility Visit with no involvement of external services or non-hospital setting - remote</t>
  </si>
  <si>
    <t>Collaborator/site contracts (set-up, negotiation and finalisation) in hospital/institutional setting or collaborator with tender required</t>
  </si>
  <si>
    <t>Collaborator/site contracts (set-up, negotiation and finalisation) for collaborator if no tender required</t>
  </si>
  <si>
    <t>Collaborator/site contracts (set-up, negotiation and finalisation) in non-hopsital setting</t>
  </si>
  <si>
    <t>Initial submission EC/Competent Authorities if CTR and complexity &gt;3</t>
  </si>
  <si>
    <t>Initial submission EC/Competent Authorities if CTR and complexity &gt;2</t>
  </si>
  <si>
    <t>Initial Leading submission EC/Competent Authorities if CTR and pilot</t>
  </si>
  <si>
    <t>Initial Leading Ethics Committee submission if non-CTR</t>
  </si>
  <si>
    <t>Initial EC submisson non CTR - per hospital site non CTR</t>
  </si>
  <si>
    <t>Initial submisson CTR - per site CTR</t>
  </si>
  <si>
    <t>Initila submission CTR - per GP</t>
  </si>
  <si>
    <t>EudtaCT reporting</t>
  </si>
  <si>
    <t>QA max amount</t>
  </si>
  <si>
    <t>QA sponsor audit including TMF</t>
  </si>
  <si>
    <t>QA site audit</t>
  </si>
  <si>
    <t>QA TMF ausit</t>
  </si>
  <si>
    <t>QA Systems audit</t>
  </si>
  <si>
    <t>TMF Preparation</t>
  </si>
  <si>
    <t>SUSAR reporting</t>
  </si>
  <si>
    <t>DSMB meetings</t>
  </si>
  <si>
    <t>Database Set-Up - pilots</t>
  </si>
  <si>
    <t>Database Set-Up - complexity 2-3</t>
  </si>
  <si>
    <t>Database Set-Up - complexity 4</t>
  </si>
  <si>
    <t>Additional Platforms to be integrated into eCRF</t>
  </si>
  <si>
    <t>Hosting database</t>
  </si>
  <si>
    <t>Data linkage</t>
  </si>
  <si>
    <t>Generation of tables and listings, Statistical analysis and report, Clinical Study Report if not pilot</t>
  </si>
  <si>
    <t>Generation of tables and listings, Statistical analysis and report, Clinical Study Report if  pilot</t>
  </si>
  <si>
    <t>Liason KCE status updates per meeting</t>
  </si>
  <si>
    <t>investigator meeting 1</t>
  </si>
  <si>
    <t>investigator meeting following</t>
  </si>
  <si>
    <t>investigator meeting results</t>
  </si>
  <si>
    <t>TSC meetings</t>
  </si>
  <si>
    <t>SMT meetings</t>
  </si>
  <si>
    <t>PPI</t>
  </si>
  <si>
    <t>PPI TSC</t>
  </si>
  <si>
    <t>this is an example for medium complexity study in a hospital setting
to be adapted according to training requirement, team involved</t>
  </si>
  <si>
    <t>fixed amounts in overall costs</t>
  </si>
  <si>
    <t>depending on involvement of external services and study setting</t>
  </si>
  <si>
    <t>depending on complexity of the trial</t>
  </si>
  <si>
    <t>depending on CTR and study setting</t>
  </si>
  <si>
    <t>depending on complexity and IMP</t>
  </si>
  <si>
    <t>per box, assuming 2 boxes for the whole trial and 1 box for every 4 sites for 25 yrs archiving</t>
  </si>
  <si>
    <t>depending on the data complexity of the trial</t>
  </si>
  <si>
    <t>max yearly fee if not on hospital server and not included in the basic eCRF license; replace "0" by "1" in the formula if applicable</t>
  </si>
  <si>
    <t>adjusted hourly fee and fixed fees to the index of 01/06/2022 (1,8845), multiplication by 1,0824</t>
  </si>
  <si>
    <t>FPI (First Participant In)</t>
  </si>
  <si>
    <t>LPI (Last Participant In)</t>
  </si>
  <si>
    <t>LPLV (Last Participant Last Visit)</t>
  </si>
  <si>
    <r>
      <t xml:space="preserve">1125,70 €/collaborator/site - 225,14€/site if GPs or non-hospital setting - 562,85€/collaborator if no tender required
</t>
    </r>
    <r>
      <rPr>
        <sz val="10"/>
        <color rgb="FFFF0000"/>
        <rFont val="Arial"/>
        <family val="2"/>
      </rPr>
      <t>adjust formula if needed</t>
    </r>
  </si>
  <si>
    <t>depending on involvement of IMP</t>
  </si>
  <si>
    <t>Following amounts can be allocated up to a maximum of 10 824€: 
- Sponsor audit including TMF: up to 5 412€
- Site audit: up to 5 412€
- TMF audit: up to 2 706€
- Audit part of a systems audit (eCRF, safety, …): up to 2 706€
This section is not part of the milestone payments - paid on performance</t>
  </si>
  <si>
    <t>* can be upgraded with 0,1 FTE in case of complex study with placebo production, extensive training programme, large GP trial ….</t>
  </si>
  <si>
    <t>6.2 (minor changes - version for 2023 call)</t>
  </si>
  <si>
    <t>deleted the line 6a in overall costs related to SUSARs as after 7 years of KCE Trials programme, there have not been any SUSARs to be reported</t>
  </si>
  <si>
    <t>deleted expected number of SUSARs as after 7 years of KCE Trials programme, there have not been any SUSARs to be reported</t>
  </si>
  <si>
    <t>adapted formula DSMB (referred to the wrong column)</t>
  </si>
  <si>
    <t>protected worksheet budget parameters</t>
  </si>
  <si>
    <t>Copyright © 2023 by KCE Trials. All rights reserved.
The budget tool and guidelines are developed by KCE Trials. If you wish to use this budget tool outside the KCE Trials Programme, you should contact trials@kce.fgov.be.
Tell us how and why you wish to use the tool. Please include your contact details: name, institution/company, address, telephone number, and email.</t>
  </si>
  <si>
    <t>reduced fees for TSC based on experience  from previous trials (often online and presence of 8 TSC members)</t>
  </si>
  <si>
    <t>Trial Steering Committee meeting(s), includes time from PM, CI, STAT, EXT</t>
  </si>
  <si>
    <t>added costs for data linkage if needed for clinical endpoint collection (replacing data management activities)</t>
  </si>
  <si>
    <t>Unit costs Indexed (call 2023)</t>
  </si>
  <si>
    <r>
      <rPr>
        <b/>
        <u/>
        <sz val="12"/>
        <color rgb="FFFF0000"/>
        <rFont val="Arial"/>
        <family val="2"/>
      </rPr>
      <t>This excel sheet should be read together with the guidance notes which give more detailed information and practical examples.</t>
    </r>
    <r>
      <rPr>
        <sz val="10"/>
        <rFont val="Arial"/>
        <family val="2"/>
      </rPr>
      <t xml:space="preserve">
Note that cells with data in </t>
    </r>
    <r>
      <rPr>
        <b/>
        <sz val="10"/>
        <color theme="6"/>
        <rFont val="Arial"/>
        <family val="2"/>
      </rPr>
      <t>green</t>
    </r>
    <r>
      <rPr>
        <sz val="10"/>
        <rFont val="Arial"/>
        <family val="2"/>
      </rPr>
      <t xml:space="preserve"> contain formulas and should not be changed as they automatically calculate a total based on data entered in other cells (yellow cells) unless there are project-specfic changes required. In this case, explain in column 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</si>
</sst>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quot;€&quot;_-;\-* #,##0.00\ &quot;€&quot;_-;_-* &quot;-&quot;??\ &quot;€&quot;_-;_-@_-"/>
    <numFmt numFmtId="165" formatCode="_ &quot;€&quot;\ * #,##0.00_ ;_ &quot;€&quot;\ * \-#,##0.00_ ;_ &quot;€&quot;\ * &quot;-&quot;??_ ;_ @_ "/>
    <numFmt numFmtId="166" formatCode="d/mm/yyyy;@"/>
    <numFmt numFmtId="167" formatCode="d/mm/yy;@"/>
    <numFmt numFmtId="168" formatCode="&quot;€&quot;\ #,##0.00"/>
    <numFmt numFmtId="169" formatCode="0.000"/>
    <numFmt numFmtId="170" formatCode="0.0000"/>
    <numFmt numFmtId="171" formatCode="0.00000"/>
    <numFmt numFmtId="172" formatCode="0.0"/>
    <numFmt numFmtId="173" formatCode="_ * #,##0.00_-\ [$€-1]_ ;_ * #,##0.00\-\ [$€-1]_ ;_ * &quot;-&quot;??_-\ [$€-1]_ ;_ @_ "/>
  </numFmts>
  <fonts count="40" x14ac:knownFonts="1">
    <font>
      <sz val="10"/>
      <name val="Arial"/>
    </font>
    <font>
      <sz val="11"/>
      <color theme="1"/>
      <name val="Calibri"/>
      <family val="2"/>
      <scheme val="minor"/>
    </font>
    <font>
      <sz val="10"/>
      <name val="Arial"/>
      <family val="2"/>
    </font>
    <font>
      <sz val="8"/>
      <name val="Arial"/>
      <family val="2"/>
    </font>
    <font>
      <b/>
      <sz val="8"/>
      <name val="Arial"/>
      <family val="2"/>
    </font>
    <font>
      <b/>
      <sz val="10"/>
      <name val="Arial"/>
      <family val="2"/>
    </font>
    <font>
      <b/>
      <sz val="16"/>
      <name val="Arial"/>
      <family val="2"/>
    </font>
    <font>
      <sz val="8"/>
      <name val="Arial"/>
      <family val="2"/>
    </font>
    <font>
      <sz val="10"/>
      <name val="Arial"/>
      <family val="2"/>
    </font>
    <font>
      <b/>
      <sz val="12"/>
      <name val="Arial"/>
      <family val="2"/>
    </font>
    <font>
      <i/>
      <sz val="8"/>
      <color rgb="FFFF0000"/>
      <name val="Arial"/>
      <family val="2"/>
    </font>
    <font>
      <sz val="9"/>
      <color indexed="81"/>
      <name val="Tahoma"/>
      <family val="2"/>
    </font>
    <font>
      <b/>
      <sz val="8"/>
      <color indexed="8"/>
      <name val="Arial"/>
      <family val="2"/>
    </font>
    <font>
      <sz val="11"/>
      <color theme="1"/>
      <name val="Arial"/>
      <family val="2"/>
    </font>
    <font>
      <sz val="8"/>
      <color indexed="8"/>
      <name val="Arial"/>
      <family val="2"/>
    </font>
    <font>
      <sz val="8"/>
      <color theme="1"/>
      <name val="Arial"/>
      <family val="2"/>
    </font>
    <font>
      <sz val="12"/>
      <name val="Arial"/>
      <family val="2"/>
    </font>
    <font>
      <sz val="10"/>
      <color rgb="FFFF0000"/>
      <name val="Arial"/>
      <family val="2"/>
    </font>
    <font>
      <sz val="10"/>
      <color theme="6"/>
      <name val="Arial"/>
      <family val="2"/>
    </font>
    <font>
      <b/>
      <sz val="10"/>
      <color theme="6"/>
      <name val="Arial"/>
      <family val="2"/>
    </font>
    <font>
      <b/>
      <sz val="10"/>
      <name val="Wingdings"/>
      <charset val="2"/>
    </font>
    <font>
      <i/>
      <sz val="8"/>
      <name val="Arial"/>
      <family val="2"/>
    </font>
    <font>
      <b/>
      <sz val="10"/>
      <color theme="5"/>
      <name val="Arial"/>
      <family val="2"/>
    </font>
    <font>
      <i/>
      <sz val="9"/>
      <name val="Arial"/>
      <family val="2"/>
    </font>
    <font>
      <b/>
      <i/>
      <sz val="10"/>
      <name val="Arial"/>
      <family val="2"/>
    </font>
    <font>
      <u/>
      <sz val="10"/>
      <color theme="10"/>
      <name val="Arial"/>
      <family val="2"/>
    </font>
    <font>
      <b/>
      <sz val="12"/>
      <color theme="1"/>
      <name val="Calibri"/>
      <family val="2"/>
      <scheme val="minor"/>
    </font>
    <font>
      <sz val="10"/>
      <color theme="1"/>
      <name val="Calibri"/>
      <family val="2"/>
      <scheme val="minor"/>
    </font>
    <font>
      <b/>
      <sz val="11"/>
      <color rgb="FFFF0000"/>
      <name val="Arial"/>
      <family val="2"/>
    </font>
    <font>
      <b/>
      <sz val="8"/>
      <color rgb="FFFF0000"/>
      <name val="Arial"/>
      <family val="2"/>
    </font>
    <font>
      <b/>
      <u/>
      <sz val="10"/>
      <name val="Arial"/>
      <family val="2"/>
    </font>
    <font>
      <sz val="8"/>
      <color theme="1"/>
      <name val="Calibri"/>
      <family val="2"/>
      <scheme val="minor"/>
    </font>
    <font>
      <strike/>
      <sz val="10"/>
      <name val="Arial"/>
      <family val="2"/>
    </font>
    <font>
      <sz val="8"/>
      <color rgb="FFFF0000"/>
      <name val="Arial"/>
      <family val="2"/>
    </font>
    <font>
      <sz val="11"/>
      <name val="Calibri"/>
      <family val="2"/>
    </font>
    <font>
      <i/>
      <sz val="8"/>
      <color indexed="8"/>
      <name val="Arial"/>
      <family val="2"/>
    </font>
    <font>
      <b/>
      <sz val="9"/>
      <color indexed="81"/>
      <name val="Tahoma"/>
      <family val="2"/>
    </font>
    <font>
      <sz val="9"/>
      <color indexed="81"/>
      <name val="Tahoma"/>
      <charset val="1"/>
    </font>
    <font>
      <b/>
      <sz val="9"/>
      <color indexed="81"/>
      <name val="Tahoma"/>
      <charset val="1"/>
    </font>
    <font>
      <b/>
      <u/>
      <sz val="12"/>
      <color rgb="FFFF0000"/>
      <name val="Arial"/>
      <family val="2"/>
    </font>
  </fonts>
  <fills count="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tint="-0.249977111117893"/>
        <bgColor indexed="64"/>
      </patternFill>
    </fill>
  </fills>
  <borders count="32">
    <border>
      <left/>
      <right/>
      <top/>
      <bottom/>
      <diagonal/>
    </border>
    <border>
      <left style="medium">
        <color indexed="64"/>
      </left>
      <right/>
      <top style="medium">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55"/>
      </top>
      <bottom style="thin">
        <color indexed="55"/>
      </bottom>
      <diagonal/>
    </border>
    <border>
      <left style="medium">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s>
  <cellStyleXfs count="7">
    <xf numFmtId="1" fontId="0" fillId="0" borderId="0"/>
    <xf numFmtId="9" fontId="2" fillId="0" borderId="0" applyFont="0" applyFill="0" applyBorder="0" applyAlignment="0" applyProtection="0"/>
    <xf numFmtId="0" fontId="2" fillId="0" borderId="0"/>
    <xf numFmtId="0" fontId="1" fillId="0" borderId="0"/>
    <xf numFmtId="165" fontId="1" fillId="0" borderId="0" applyFont="0" applyFill="0" applyBorder="0" applyAlignment="0" applyProtection="0"/>
    <xf numFmtId="165" fontId="8" fillId="0" borderId="0" applyFont="0" applyFill="0" applyBorder="0" applyAlignment="0" applyProtection="0"/>
    <xf numFmtId="1" fontId="25" fillId="0" borderId="0" applyNumberFormat="0" applyFill="0" applyBorder="0" applyAlignment="0" applyProtection="0"/>
  </cellStyleXfs>
  <cellXfs count="195">
    <xf numFmtId="1" fontId="0" fillId="0" borderId="0" xfId="0"/>
    <xf numFmtId="1" fontId="3" fillId="0" borderId="0" xfId="0" applyFont="1"/>
    <xf numFmtId="1" fontId="3" fillId="0" borderId="0" xfId="0" applyFont="1" applyAlignment="1">
      <alignment horizontal="right"/>
    </xf>
    <xf numFmtId="1" fontId="4" fillId="0" borderId="0" xfId="0" applyFont="1"/>
    <xf numFmtId="1" fontId="6" fillId="2" borderId="1" xfId="0" applyFont="1" applyFill="1" applyBorder="1"/>
    <xf numFmtId="1" fontId="4" fillId="0" borderId="5" xfId="0" applyFont="1" applyBorder="1"/>
    <xf numFmtId="1" fontId="3" fillId="0" borderId="6" xfId="0" applyFont="1" applyBorder="1"/>
    <xf numFmtId="1" fontId="4" fillId="0" borderId="7" xfId="0" applyFont="1" applyBorder="1" applyAlignment="1">
      <alignment horizontal="left"/>
    </xf>
    <xf numFmtId="1" fontId="4" fillId="0" borderId="8" xfId="0" applyFont="1" applyBorder="1"/>
    <xf numFmtId="1" fontId="6" fillId="2" borderId="9" xfId="0" applyFont="1" applyFill="1" applyBorder="1"/>
    <xf numFmtId="1" fontId="3" fillId="0" borderId="5" xfId="0" applyFont="1" applyBorder="1"/>
    <xf numFmtId="1" fontId="4" fillId="3" borderId="8" xfId="0" applyFont="1" applyFill="1" applyBorder="1"/>
    <xf numFmtId="1" fontId="4" fillId="3" borderId="6" xfId="0" applyFont="1" applyFill="1" applyBorder="1"/>
    <xf numFmtId="1" fontId="2" fillId="0" borderId="0" xfId="0" applyFont="1"/>
    <xf numFmtId="1" fontId="5" fillId="0" borderId="0" xfId="0" applyFont="1"/>
    <xf numFmtId="1" fontId="4" fillId="4" borderId="6" xfId="0" applyFont="1" applyFill="1" applyBorder="1"/>
    <xf numFmtId="1" fontId="6" fillId="2" borderId="4" xfId="0" applyFont="1" applyFill="1" applyBorder="1" applyAlignment="1">
      <alignment horizontal="left"/>
    </xf>
    <xf numFmtId="1" fontId="4" fillId="0" borderId="2" xfId="0" applyFont="1" applyBorder="1" applyAlignment="1">
      <alignment horizontal="left"/>
    </xf>
    <xf numFmtId="1" fontId="4" fillId="0" borderId="3" xfId="0" applyFont="1" applyBorder="1" applyAlignment="1">
      <alignment horizontal="left"/>
    </xf>
    <xf numFmtId="1" fontId="3" fillId="0" borderId="3" xfId="0" applyFont="1" applyBorder="1" applyAlignment="1">
      <alignment horizontal="left"/>
    </xf>
    <xf numFmtId="1" fontId="3" fillId="3" borderId="3" xfId="0" applyFont="1" applyFill="1" applyBorder="1" applyAlignment="1">
      <alignment horizontal="left"/>
    </xf>
    <xf numFmtId="1" fontId="3" fillId="4" borderId="3" xfId="0" applyFont="1" applyFill="1" applyBorder="1" applyAlignment="1">
      <alignment horizontal="left"/>
    </xf>
    <xf numFmtId="1" fontId="3" fillId="0" borderId="0" xfId="0" applyFont="1" applyAlignment="1">
      <alignment horizontal="left"/>
    </xf>
    <xf numFmtId="1" fontId="5" fillId="0" borderId="12" xfId="0" applyFont="1" applyBorder="1" applyAlignment="1">
      <alignment horizontal="left" wrapText="1"/>
    </xf>
    <xf numFmtId="1" fontId="5" fillId="0" borderId="13" xfId="0" applyFont="1" applyBorder="1" applyAlignment="1">
      <alignment horizontal="left"/>
    </xf>
    <xf numFmtId="1" fontId="5" fillId="3" borderId="13" xfId="0" applyFont="1" applyFill="1" applyBorder="1" applyAlignment="1">
      <alignment horizontal="left"/>
    </xf>
    <xf numFmtId="1" fontId="5" fillId="4" borderId="13" xfId="0" applyFont="1" applyFill="1" applyBorder="1" applyAlignment="1">
      <alignment horizontal="left"/>
    </xf>
    <xf numFmtId="1" fontId="4" fillId="0" borderId="0" xfId="0" applyFont="1" applyBorder="1" applyAlignment="1">
      <alignment horizontal="left"/>
    </xf>
    <xf numFmtId="1" fontId="0" fillId="0" borderId="11" xfId="0" applyBorder="1"/>
    <xf numFmtId="1" fontId="0" fillId="0" borderId="0" xfId="0" applyBorder="1"/>
    <xf numFmtId="1" fontId="0" fillId="0" borderId="15" xfId="0" applyBorder="1"/>
    <xf numFmtId="0" fontId="1" fillId="0" borderId="0" xfId="3"/>
    <xf numFmtId="167" fontId="9" fillId="2" borderId="14" xfId="0" applyNumberFormat="1" applyFont="1" applyFill="1" applyBorder="1"/>
    <xf numFmtId="1" fontId="0" fillId="0" borderId="0" xfId="0" applyFill="1"/>
    <xf numFmtId="1" fontId="0" fillId="0" borderId="0" xfId="0" applyFill="1" applyAlignment="1">
      <alignment horizontal="left"/>
    </xf>
    <xf numFmtId="1" fontId="0" fillId="0" borderId="0" xfId="0" applyNumberFormat="1" applyFill="1" applyAlignment="1">
      <alignment horizontal="left"/>
    </xf>
    <xf numFmtId="14" fontId="0" fillId="0" borderId="0" xfId="0" applyNumberFormat="1" applyFill="1"/>
    <xf numFmtId="1" fontId="10" fillId="0" borderId="11" xfId="0" applyFont="1" applyBorder="1"/>
    <xf numFmtId="166" fontId="9" fillId="2" borderId="14" xfId="0" applyNumberFormat="1" applyFont="1" applyFill="1" applyBorder="1"/>
    <xf numFmtId="168" fontId="5" fillId="0" borderId="13" xfId="5" applyNumberFormat="1" applyFont="1" applyBorder="1" applyAlignment="1">
      <alignment horizontal="left"/>
    </xf>
    <xf numFmtId="168" fontId="6" fillId="2" borderId="4" xfId="0" applyNumberFormat="1" applyFont="1" applyFill="1" applyBorder="1" applyAlignment="1">
      <alignment horizontal="left"/>
    </xf>
    <xf numFmtId="168" fontId="5" fillId="0" borderId="12" xfId="0" applyNumberFormat="1" applyFont="1" applyBorder="1" applyAlignment="1">
      <alignment horizontal="left" wrapText="1"/>
    </xf>
    <xf numFmtId="168" fontId="4" fillId="0" borderId="0" xfId="0" applyNumberFormat="1" applyFont="1" applyBorder="1" applyAlignment="1">
      <alignment horizontal="left"/>
    </xf>
    <xf numFmtId="168" fontId="5" fillId="0" borderId="13" xfId="0" applyNumberFormat="1" applyFont="1" applyBorder="1" applyAlignment="1">
      <alignment horizontal="left"/>
    </xf>
    <xf numFmtId="1" fontId="2" fillId="0" borderId="13" xfId="0" applyFont="1" applyBorder="1" applyAlignment="1">
      <alignment horizontal="left"/>
    </xf>
    <xf numFmtId="1" fontId="10" fillId="0" borderId="0" xfId="0" applyFont="1" applyBorder="1"/>
    <xf numFmtId="1" fontId="9" fillId="2" borderId="1" xfId="0" applyFont="1" applyFill="1" applyBorder="1"/>
    <xf numFmtId="1" fontId="9" fillId="2" borderId="4" xfId="0" applyFont="1" applyFill="1" applyBorder="1"/>
    <xf numFmtId="1" fontId="9" fillId="2" borderId="14" xfId="0" applyFont="1" applyFill="1" applyBorder="1"/>
    <xf numFmtId="0" fontId="12" fillId="0" borderId="17" xfId="2" applyFont="1" applyBorder="1" applyAlignment="1">
      <alignment horizontal="center" vertical="center" wrapText="1"/>
    </xf>
    <xf numFmtId="0" fontId="12" fillId="0" borderId="0" xfId="2" applyFont="1" applyBorder="1" applyAlignment="1">
      <alignment horizontal="center" vertical="center"/>
    </xf>
    <xf numFmtId="0" fontId="13" fillId="0" borderId="0" xfId="3" applyFont="1"/>
    <xf numFmtId="0" fontId="13" fillId="0" borderId="0" xfId="3" applyFont="1" applyAlignment="1">
      <alignment horizontal="center"/>
    </xf>
    <xf numFmtId="0" fontId="14" fillId="0" borderId="0" xfId="3" applyNumberFormat="1" applyFont="1" applyFill="1" applyBorder="1" applyAlignment="1">
      <alignment horizontal="left" vertical="center" wrapText="1"/>
    </xf>
    <xf numFmtId="165" fontId="12" fillId="0" borderId="0" xfId="4" applyFont="1" applyFill="1" applyBorder="1" applyAlignment="1">
      <alignment horizontal="left" vertical="center" wrapText="1"/>
    </xf>
    <xf numFmtId="0" fontId="14" fillId="0" borderId="0" xfId="0" applyNumberFormat="1" applyFont="1" applyFill="1" applyBorder="1" applyAlignment="1">
      <alignment horizontal="left" vertical="center" wrapText="1"/>
    </xf>
    <xf numFmtId="0" fontId="15" fillId="0" borderId="0" xfId="3" applyFont="1" applyAlignment="1">
      <alignment horizontal="center"/>
    </xf>
    <xf numFmtId="0" fontId="12" fillId="0" borderId="0" xfId="2" applyFont="1" applyBorder="1" applyAlignment="1">
      <alignment horizontal="left" vertical="center"/>
    </xf>
    <xf numFmtId="0" fontId="12" fillId="0" borderId="16" xfId="2" applyFont="1" applyFill="1" applyBorder="1" applyAlignment="1">
      <alignment horizontal="left" vertical="center" wrapText="1"/>
    </xf>
    <xf numFmtId="1" fontId="16" fillId="0" borderId="15" xfId="0" applyFont="1" applyBorder="1"/>
    <xf numFmtId="1" fontId="9" fillId="2" borderId="9" xfId="0" applyFont="1" applyFill="1" applyBorder="1"/>
    <xf numFmtId="1" fontId="0" fillId="5" borderId="0" xfId="0" applyFill="1"/>
    <xf numFmtId="1" fontId="2" fillId="5" borderId="0" xfId="0" applyFont="1" applyFill="1"/>
    <xf numFmtId="14" fontId="2" fillId="5" borderId="0" xfId="0" applyNumberFormat="1" applyFont="1" applyFill="1"/>
    <xf numFmtId="1" fontId="2" fillId="0" borderId="0" xfId="0" applyFont="1" applyFill="1"/>
    <xf numFmtId="1" fontId="18" fillId="0" borderId="0" xfId="0" applyFont="1"/>
    <xf numFmtId="1" fontId="2" fillId="0" borderId="0" xfId="0" applyFont="1" applyAlignment="1">
      <alignment wrapText="1"/>
    </xf>
    <xf numFmtId="165" fontId="2" fillId="0" borderId="0" xfId="5" applyFont="1" applyFill="1"/>
    <xf numFmtId="1" fontId="2" fillId="0" borderId="13" xfId="0" applyFont="1" applyBorder="1" applyAlignment="1">
      <alignment horizontal="left" wrapText="1"/>
    </xf>
    <xf numFmtId="1" fontId="2" fillId="0" borderId="0" xfId="0" applyFont="1" applyAlignment="1">
      <alignment horizontal="left" vertical="top" wrapText="1"/>
    </xf>
    <xf numFmtId="1" fontId="18" fillId="0" borderId="13" xfId="0" applyFont="1" applyBorder="1" applyAlignment="1">
      <alignment horizontal="left"/>
    </xf>
    <xf numFmtId="166" fontId="9" fillId="2" borderId="14" xfId="0" applyNumberFormat="1" applyFont="1" applyFill="1" applyBorder="1" applyAlignment="1">
      <alignment horizontal="right" wrapText="1"/>
    </xf>
    <xf numFmtId="1" fontId="5" fillId="0" borderId="13" xfId="0" applyFont="1" applyBorder="1" applyAlignment="1">
      <alignment horizontal="left" wrapText="1"/>
    </xf>
    <xf numFmtId="1" fontId="17" fillId="0" borderId="13" xfId="0" applyFont="1" applyBorder="1" applyAlignment="1">
      <alignment horizontal="left" wrapText="1"/>
    </xf>
    <xf numFmtId="1" fontId="5" fillId="3" borderId="13" xfId="0" applyFont="1" applyFill="1" applyBorder="1" applyAlignment="1">
      <alignment horizontal="left" wrapText="1"/>
    </xf>
    <xf numFmtId="1" fontId="4" fillId="0" borderId="0" xfId="0" applyFont="1" applyBorder="1" applyAlignment="1">
      <alignment horizontal="left" wrapText="1"/>
    </xf>
    <xf numFmtId="1" fontId="5" fillId="4" borderId="13" xfId="0" applyFont="1" applyFill="1" applyBorder="1" applyAlignment="1">
      <alignment horizontal="left" wrapText="1"/>
    </xf>
    <xf numFmtId="1" fontId="3" fillId="0" borderId="5" xfId="0" applyFont="1" applyBorder="1" applyAlignment="1">
      <alignment wrapText="1"/>
    </xf>
    <xf numFmtId="1" fontId="3" fillId="0" borderId="6" xfId="0" applyFont="1" applyBorder="1" applyAlignment="1">
      <alignment wrapText="1"/>
    </xf>
    <xf numFmtId="1" fontId="3" fillId="0" borderId="5" xfId="0" applyFont="1" applyFill="1" applyBorder="1" applyAlignment="1">
      <alignment wrapText="1"/>
    </xf>
    <xf numFmtId="1" fontId="3" fillId="0" borderId="3" xfId="0" applyFont="1" applyFill="1" applyBorder="1" applyAlignment="1">
      <alignment horizontal="left"/>
    </xf>
    <xf numFmtId="1" fontId="2" fillId="0" borderId="13" xfId="0" applyFont="1" applyFill="1" applyBorder="1" applyAlignment="1">
      <alignment horizontal="left"/>
    </xf>
    <xf numFmtId="166" fontId="2" fillId="5" borderId="0" xfId="0" applyNumberFormat="1" applyFont="1" applyFill="1"/>
    <xf numFmtId="166" fontId="2" fillId="5" borderId="0" xfId="0" applyNumberFormat="1" applyFont="1" applyFill="1" applyAlignment="1">
      <alignment horizontal="right"/>
    </xf>
    <xf numFmtId="0" fontId="0" fillId="0" borderId="0" xfId="0" applyNumberFormat="1"/>
    <xf numFmtId="165" fontId="9" fillId="2" borderId="4" xfId="0" applyNumberFormat="1" applyFont="1" applyFill="1" applyBorder="1"/>
    <xf numFmtId="165" fontId="0" fillId="0" borderId="0" xfId="0" applyNumberFormat="1" applyBorder="1"/>
    <xf numFmtId="165" fontId="0" fillId="0" borderId="0" xfId="0" applyNumberFormat="1"/>
    <xf numFmtId="1" fontId="17" fillId="0" borderId="13" xfId="0" applyFont="1" applyFill="1" applyBorder="1" applyAlignment="1">
      <alignment horizontal="left" wrapText="1"/>
    </xf>
    <xf numFmtId="1" fontId="21" fillId="0" borderId="0" xfId="0" applyFont="1"/>
    <xf numFmtId="9" fontId="0" fillId="0" borderId="0" xfId="1" applyFont="1" applyAlignment="1">
      <alignment horizontal="left"/>
    </xf>
    <xf numFmtId="1" fontId="0" fillId="0" borderId="0" xfId="0" applyAlignment="1">
      <alignment horizontal="left"/>
    </xf>
    <xf numFmtId="1" fontId="22" fillId="0" borderId="0" xfId="0" applyFont="1" applyAlignment="1">
      <alignment wrapText="1"/>
    </xf>
    <xf numFmtId="1" fontId="9" fillId="4" borderId="6" xfId="0" applyFont="1" applyFill="1" applyBorder="1"/>
    <xf numFmtId="1" fontId="17" fillId="0" borderId="0" xfId="0" applyFont="1" applyAlignment="1">
      <alignment wrapText="1"/>
    </xf>
    <xf numFmtId="1" fontId="9" fillId="0" borderId="10" xfId="0" applyFont="1" applyBorder="1"/>
    <xf numFmtId="1" fontId="3" fillId="0" borderId="0" xfId="0" applyFont="1" applyAlignment="1">
      <alignment wrapText="1"/>
    </xf>
    <xf numFmtId="1" fontId="3" fillId="0" borderId="0" xfId="0" applyFont="1" applyAlignment="1">
      <alignment horizontal="left" wrapText="1"/>
    </xf>
    <xf numFmtId="170" fontId="0" fillId="0" borderId="0" xfId="0" applyNumberFormat="1"/>
    <xf numFmtId="171" fontId="0" fillId="0" borderId="0" xfId="0" applyNumberFormat="1"/>
    <xf numFmtId="1" fontId="25" fillId="0" borderId="13" xfId="6" applyBorder="1" applyAlignment="1">
      <alignment horizontal="left" wrapText="1"/>
    </xf>
    <xf numFmtId="169" fontId="18" fillId="0" borderId="0" xfId="0" applyNumberFormat="1" applyFont="1"/>
    <xf numFmtId="169" fontId="18" fillId="0" borderId="0" xfId="0" applyNumberFormat="1" applyFont="1" applyAlignment="1">
      <alignment horizontal="left"/>
    </xf>
    <xf numFmtId="2" fontId="18" fillId="0" borderId="0" xfId="0" applyNumberFormat="1" applyFont="1"/>
    <xf numFmtId="1" fontId="23" fillId="0" borderId="11" xfId="0" applyFont="1" applyBorder="1"/>
    <xf numFmtId="1" fontId="26" fillId="0" borderId="18" xfId="0" applyFont="1" applyBorder="1"/>
    <xf numFmtId="1" fontId="26" fillId="0" borderId="19" xfId="0" applyFont="1" applyBorder="1"/>
    <xf numFmtId="2" fontId="0" fillId="0" borderId="0" xfId="0" applyNumberFormat="1"/>
    <xf numFmtId="0" fontId="12" fillId="0" borderId="17" xfId="2" applyFont="1" applyBorder="1" applyAlignment="1">
      <alignment horizontal="center" vertical="center"/>
    </xf>
    <xf numFmtId="9" fontId="12" fillId="0" borderId="0" xfId="1" applyFont="1" applyFill="1" applyBorder="1" applyAlignment="1">
      <alignment horizontal="left" vertical="center" wrapText="1"/>
    </xf>
    <xf numFmtId="165" fontId="29" fillId="0" borderId="0" xfId="4" applyFont="1" applyFill="1" applyBorder="1" applyAlignment="1">
      <alignment horizontal="left" vertical="center" wrapText="1"/>
    </xf>
    <xf numFmtId="1" fontId="14" fillId="0" borderId="0" xfId="4" applyNumberFormat="1" applyFont="1" applyFill="1" applyBorder="1" applyAlignment="1">
      <alignment horizontal="left" vertical="center" wrapText="1"/>
    </xf>
    <xf numFmtId="1" fontId="28" fillId="0" borderId="0" xfId="0" applyFont="1" applyAlignment="1">
      <alignment vertical="top" wrapText="1"/>
    </xf>
    <xf numFmtId="2" fontId="19" fillId="0" borderId="0" xfId="0" applyNumberFormat="1" applyFont="1"/>
    <xf numFmtId="1" fontId="5" fillId="0" borderId="0" xfId="0" applyFont="1" applyAlignment="1">
      <alignment vertical="top"/>
    </xf>
    <xf numFmtId="1" fontId="30" fillId="6" borderId="18" xfId="0" applyFont="1" applyFill="1" applyBorder="1"/>
    <xf numFmtId="0" fontId="9" fillId="2" borderId="4" xfId="0" applyNumberFormat="1" applyFont="1" applyFill="1" applyBorder="1"/>
    <xf numFmtId="2" fontId="18" fillId="0" borderId="13" xfId="0" applyNumberFormat="1" applyFont="1" applyFill="1" applyBorder="1" applyAlignment="1">
      <alignment horizontal="left"/>
    </xf>
    <xf numFmtId="1" fontId="5" fillId="0" borderId="0" xfId="0" applyFont="1" applyAlignment="1">
      <alignment wrapText="1"/>
    </xf>
    <xf numFmtId="1" fontId="4" fillId="2" borderId="4" xfId="0" applyFont="1" applyFill="1" applyBorder="1"/>
    <xf numFmtId="164" fontId="31" fillId="0" borderId="0" xfId="3" applyNumberFormat="1" applyFont="1"/>
    <xf numFmtId="1" fontId="33" fillId="0" borderId="3" xfId="0" applyFont="1" applyBorder="1" applyAlignment="1">
      <alignment horizontal="left"/>
    </xf>
    <xf numFmtId="1" fontId="17" fillId="0" borderId="13" xfId="0" applyFont="1" applyBorder="1" applyAlignment="1">
      <alignment horizontal="left"/>
    </xf>
    <xf numFmtId="1" fontId="29" fillId="0" borderId="0" xfId="0" applyFont="1" applyBorder="1" applyAlignment="1">
      <alignment horizontal="left" wrapText="1"/>
    </xf>
    <xf numFmtId="1" fontId="33" fillId="0" borderId="0" xfId="0" applyFont="1"/>
    <xf numFmtId="1" fontId="2" fillId="0" borderId="0" xfId="0" applyFont="1" applyFill="1" applyBorder="1"/>
    <xf numFmtId="1" fontId="0" fillId="0" borderId="0" xfId="0" applyAlignment="1">
      <alignment wrapText="1"/>
    </xf>
    <xf numFmtId="1" fontId="32" fillId="0" borderId="0" xfId="0" applyFont="1" applyAlignment="1">
      <alignment wrapText="1"/>
    </xf>
    <xf numFmtId="1" fontId="32" fillId="0" borderId="0" xfId="0" applyFont="1"/>
    <xf numFmtId="1" fontId="18" fillId="0" borderId="0" xfId="0" applyFont="1" applyFill="1"/>
    <xf numFmtId="1" fontId="32" fillId="0" borderId="0" xfId="0" applyFont="1" applyFill="1"/>
    <xf numFmtId="164" fontId="18" fillId="0" borderId="13" xfId="5" applyNumberFormat="1" applyFont="1" applyFill="1" applyBorder="1" applyAlignment="1">
      <alignment horizontal="left"/>
    </xf>
    <xf numFmtId="164" fontId="2" fillId="0" borderId="13" xfId="5" applyNumberFormat="1" applyFont="1" applyFill="1" applyBorder="1" applyAlignment="1">
      <alignment horizontal="left"/>
    </xf>
    <xf numFmtId="164" fontId="2" fillId="0" borderId="13" xfId="5" applyNumberFormat="1" applyFont="1" applyBorder="1" applyAlignment="1">
      <alignment horizontal="left"/>
    </xf>
    <xf numFmtId="164" fontId="18" fillId="0" borderId="13" xfId="5" applyNumberFormat="1" applyFont="1" applyBorder="1" applyAlignment="1">
      <alignment horizontal="left"/>
    </xf>
    <xf numFmtId="164" fontId="19" fillId="3" borderId="13" xfId="5" applyNumberFormat="1" applyFont="1" applyFill="1" applyBorder="1" applyAlignment="1">
      <alignment horizontal="left"/>
    </xf>
    <xf numFmtId="164" fontId="5" fillId="3" borderId="13" xfId="5" applyNumberFormat="1" applyFont="1" applyFill="1" applyBorder="1" applyAlignment="1">
      <alignment horizontal="left"/>
    </xf>
    <xf numFmtId="164" fontId="19" fillId="0" borderId="13" xfId="5" applyNumberFormat="1" applyFont="1" applyBorder="1" applyAlignment="1">
      <alignment horizontal="left"/>
    </xf>
    <xf numFmtId="164" fontId="5" fillId="0" borderId="13" xfId="5" applyNumberFormat="1" applyFont="1" applyBorder="1" applyAlignment="1">
      <alignment horizontal="left"/>
    </xf>
    <xf numFmtId="164" fontId="4" fillId="0" borderId="0" xfId="5" applyNumberFormat="1" applyFont="1" applyBorder="1" applyAlignment="1">
      <alignment horizontal="left"/>
    </xf>
    <xf numFmtId="164" fontId="5" fillId="4" borderId="13" xfId="5" applyNumberFormat="1" applyFont="1" applyFill="1" applyBorder="1" applyAlignment="1">
      <alignment horizontal="left"/>
    </xf>
    <xf numFmtId="172" fontId="18" fillId="0" borderId="0" xfId="0" applyNumberFormat="1" applyFont="1"/>
    <xf numFmtId="1" fontId="18" fillId="0" borderId="13" xfId="0" applyNumberFormat="1" applyFont="1" applyFill="1" applyBorder="1" applyAlignment="1">
      <alignment horizontal="left"/>
    </xf>
    <xf numFmtId="164" fontId="14" fillId="0" borderId="0" xfId="5" applyNumberFormat="1" applyFont="1" applyFill="1" applyBorder="1" applyAlignment="1">
      <alignment horizontal="left" vertical="center" wrapText="1"/>
    </xf>
    <xf numFmtId="164" fontId="13" fillId="0" borderId="0" xfId="5" applyNumberFormat="1" applyFont="1"/>
    <xf numFmtId="164" fontId="12" fillId="0" borderId="16" xfId="5" applyNumberFormat="1" applyFont="1" applyFill="1" applyBorder="1" applyAlignment="1">
      <alignment horizontal="left" vertical="center" wrapText="1"/>
    </xf>
    <xf numFmtId="164" fontId="12" fillId="0" borderId="0" xfId="5" applyNumberFormat="1" applyFont="1" applyFill="1" applyBorder="1" applyAlignment="1">
      <alignment horizontal="left" vertical="center" wrapText="1"/>
    </xf>
    <xf numFmtId="164" fontId="29" fillId="0" borderId="0" xfId="3" applyNumberFormat="1" applyFont="1"/>
    <xf numFmtId="164" fontId="14" fillId="0" borderId="0" xfId="4" applyNumberFormat="1" applyFont="1" applyFill="1" applyBorder="1" applyAlignment="1">
      <alignment horizontal="left" vertical="center" wrapText="1"/>
    </xf>
    <xf numFmtId="164" fontId="15" fillId="0" borderId="0" xfId="3" applyNumberFormat="1" applyFont="1"/>
    <xf numFmtId="164" fontId="1" fillId="0" borderId="0" xfId="3" applyNumberFormat="1"/>
    <xf numFmtId="9" fontId="2" fillId="0" borderId="13" xfId="1" applyFont="1" applyBorder="1" applyAlignment="1">
      <alignment horizontal="right"/>
    </xf>
    <xf numFmtId="9" fontId="2" fillId="0" borderId="13" xfId="1" applyFont="1" applyBorder="1" applyAlignment="1">
      <alignment horizontal="right" indent="1"/>
    </xf>
    <xf numFmtId="1" fontId="34" fillId="0" borderId="0" xfId="0" applyFont="1" applyAlignment="1">
      <alignment horizontal="left" vertical="center" indent="4"/>
    </xf>
    <xf numFmtId="0" fontId="35" fillId="0" borderId="0" xfId="3" applyNumberFormat="1" applyFont="1" applyFill="1" applyBorder="1" applyAlignment="1">
      <alignment horizontal="left" vertical="center" wrapText="1"/>
    </xf>
    <xf numFmtId="164" fontId="5" fillId="0" borderId="0" xfId="0" applyNumberFormat="1" applyFont="1" applyBorder="1" applyAlignment="1">
      <alignment horizontal="left"/>
    </xf>
    <xf numFmtId="1" fontId="9" fillId="0" borderId="11" xfId="0" applyFont="1" applyBorder="1"/>
    <xf numFmtId="1" fontId="9" fillId="0" borderId="10" xfId="0" applyFont="1" applyBorder="1" applyAlignment="1">
      <alignment wrapText="1"/>
    </xf>
    <xf numFmtId="171" fontId="2" fillId="0" borderId="0" xfId="0" applyNumberFormat="1" applyFont="1"/>
    <xf numFmtId="1" fontId="0" fillId="0" borderId="0" xfId="0" applyAlignment="1">
      <alignment horizontal="left"/>
    </xf>
    <xf numFmtId="170" fontId="0" fillId="0" borderId="0" xfId="0" applyNumberFormat="1" applyAlignment="1">
      <alignment horizontal="left"/>
    </xf>
    <xf numFmtId="1" fontId="16" fillId="0" borderId="0" xfId="0" applyFont="1"/>
    <xf numFmtId="173" fontId="0" fillId="0" borderId="0" xfId="5" applyNumberFormat="1" applyFont="1"/>
    <xf numFmtId="170" fontId="2" fillId="0" borderId="0" xfId="0" applyNumberFormat="1" applyFont="1" applyAlignment="1">
      <alignment horizontal="left"/>
    </xf>
    <xf numFmtId="173" fontId="27" fillId="0" borderId="18" xfId="5" applyNumberFormat="1" applyFont="1" applyBorder="1"/>
    <xf numFmtId="173" fontId="3" fillId="0" borderId="6" xfId="0" applyNumberFormat="1" applyFont="1" applyBorder="1" applyAlignment="1">
      <alignment wrapText="1"/>
    </xf>
    <xf numFmtId="1" fontId="3" fillId="0" borderId="11" xfId="0" applyFont="1" applyBorder="1" applyAlignment="1">
      <alignment wrapText="1"/>
    </xf>
    <xf numFmtId="1" fontId="3" fillId="0" borderId="0" xfId="0" applyFont="1" applyBorder="1"/>
    <xf numFmtId="173" fontId="3" fillId="0" borderId="0" xfId="0" applyNumberFormat="1" applyFont="1" applyBorder="1" applyAlignment="1">
      <alignment wrapText="1"/>
    </xf>
    <xf numFmtId="1" fontId="5" fillId="0" borderId="0" xfId="0" applyFont="1" applyAlignment="1">
      <alignment horizontal="left" vertical="top"/>
    </xf>
    <xf numFmtId="1" fontId="2" fillId="0" borderId="0" xfId="0" applyFont="1" applyAlignment="1">
      <alignment horizontal="center"/>
    </xf>
    <xf numFmtId="1" fontId="0" fillId="0" borderId="0" xfId="0" applyAlignment="1">
      <alignment horizontal="center"/>
    </xf>
    <xf numFmtId="1" fontId="2" fillId="0" borderId="0" xfId="0" applyFont="1" applyAlignment="1">
      <alignment horizontal="left" wrapText="1"/>
    </xf>
    <xf numFmtId="1" fontId="0" fillId="0" borderId="0" xfId="0" applyAlignment="1">
      <alignment horizontal="left"/>
    </xf>
    <xf numFmtId="1" fontId="27" fillId="0" borderId="28" xfId="0" applyFont="1" applyBorder="1" applyAlignment="1">
      <alignment horizontal="left" wrapText="1"/>
    </xf>
    <xf numFmtId="1" fontId="27" fillId="0" borderId="29" xfId="0" applyFont="1" applyBorder="1" applyAlignment="1">
      <alignment horizontal="left" wrapText="1"/>
    </xf>
    <xf numFmtId="1" fontId="0" fillId="0" borderId="16" xfId="0" applyBorder="1" applyAlignment="1">
      <alignment horizontal="center"/>
    </xf>
    <xf numFmtId="1" fontId="9" fillId="2" borderId="30" xfId="0" applyFont="1" applyFill="1" applyBorder="1" applyAlignment="1">
      <alignment horizontal="left" wrapText="1"/>
    </xf>
    <xf numFmtId="1" fontId="9" fillId="2" borderId="31" xfId="0" applyFont="1" applyFill="1" applyBorder="1" applyAlignment="1">
      <alignment horizontal="left" wrapText="1"/>
    </xf>
    <xf numFmtId="1" fontId="2" fillId="0" borderId="17" xfId="0" applyFont="1" applyBorder="1" applyAlignment="1">
      <alignment horizontal="center"/>
    </xf>
    <xf numFmtId="1" fontId="2" fillId="0" borderId="0" xfId="0" applyFont="1" applyAlignment="1">
      <alignment horizontal="left"/>
    </xf>
    <xf numFmtId="1" fontId="21" fillId="0" borderId="0" xfId="0" applyFont="1" applyAlignment="1">
      <alignment horizontal="left" wrapText="1"/>
    </xf>
    <xf numFmtId="1" fontId="9" fillId="2" borderId="11" xfId="0" applyFont="1" applyFill="1" applyBorder="1" applyAlignment="1">
      <alignment horizontal="left"/>
    </xf>
    <xf numFmtId="1" fontId="9" fillId="2" borderId="0" xfId="0" applyFont="1" applyFill="1" applyBorder="1" applyAlignment="1">
      <alignment horizontal="left"/>
    </xf>
    <xf numFmtId="1" fontId="5" fillId="0" borderId="0" xfId="0" applyFont="1" applyAlignment="1">
      <alignment horizontal="left" wrapText="1"/>
    </xf>
    <xf numFmtId="0" fontId="12" fillId="0" borderId="17" xfId="2" applyFont="1" applyBorder="1" applyAlignment="1">
      <alignment horizontal="center" vertical="center"/>
    </xf>
    <xf numFmtId="1" fontId="28" fillId="0" borderId="20" xfId="0" applyFont="1" applyBorder="1" applyAlignment="1">
      <alignment horizontal="center" vertical="center" wrapText="1"/>
    </xf>
    <xf numFmtId="1" fontId="28" fillId="0" borderId="21" xfId="0" applyFont="1" applyBorder="1" applyAlignment="1">
      <alignment horizontal="center" vertical="center" wrapText="1"/>
    </xf>
    <xf numFmtId="1" fontId="28" fillId="0" borderId="22" xfId="0" applyFont="1" applyBorder="1" applyAlignment="1">
      <alignment horizontal="center" vertical="center" wrapText="1"/>
    </xf>
    <xf numFmtId="1" fontId="28" fillId="0" borderId="23" xfId="0" applyFont="1" applyBorder="1" applyAlignment="1">
      <alignment horizontal="center" vertical="center" wrapText="1"/>
    </xf>
    <xf numFmtId="1" fontId="28" fillId="0" borderId="0" xfId="0" applyFont="1" applyBorder="1" applyAlignment="1">
      <alignment horizontal="center" vertical="center" wrapText="1"/>
    </xf>
    <xf numFmtId="1" fontId="28" fillId="0" borderId="24" xfId="0" applyFont="1" applyBorder="1" applyAlignment="1">
      <alignment horizontal="center" vertical="center" wrapText="1"/>
    </xf>
    <xf numFmtId="1" fontId="28" fillId="0" borderId="25" xfId="0" applyFont="1" applyBorder="1" applyAlignment="1">
      <alignment horizontal="center" vertical="center" wrapText="1"/>
    </xf>
    <xf numFmtId="1" fontId="28" fillId="0" borderId="26" xfId="0" applyFont="1" applyBorder="1" applyAlignment="1">
      <alignment horizontal="center" vertical="center" wrapText="1"/>
    </xf>
    <xf numFmtId="1" fontId="28" fillId="0" borderId="27" xfId="0" applyFont="1" applyBorder="1" applyAlignment="1">
      <alignment horizontal="center" vertical="center" wrapText="1"/>
    </xf>
  </cellXfs>
  <cellStyles count="7">
    <cellStyle name="Currency" xfId="5" builtinId="4"/>
    <cellStyle name="Currency 2" xfId="4" xr:uid="{00000000-0005-0000-0000-000001000000}"/>
    <cellStyle name="Hyperlink" xfId="6" builtinId="8"/>
    <cellStyle name="Normal" xfId="0" builtinId="0"/>
    <cellStyle name="Normal 2" xfId="2" xr:uid="{00000000-0005-0000-0000-000004000000}"/>
    <cellStyle name="Normal 3" xfId="3" xr:uid="{00000000-0005-0000-0000-00000500000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Stocquart Nelle" id="{ACBCA257-4DEB-400F-89CA-AF33CA083558}" userId="Stocquart Nelle"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4" dT="2023-04-19T14:00:21.04" personId="{ACBCA257-4DEB-400F-89CA-AF33CA083558}" id="{E16C585A-2A77-40D7-B894-28E10DD4F956}">
    <text>You would not write in Eudract or clinicaltrials.gov</text>
  </threadedComment>
  <threadedComment ref="B73" dT="2023-04-24T14:36:20.64" personId="{ACBCA257-4DEB-400F-89CA-AF33CA083558}" id="{B083BAD5-C2F8-4290-B068-7D23A6AD80C2}">
    <text>I would explain more what you are expecting here since it could be interprete as site pharmacy costs.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8"/>
  <sheetViews>
    <sheetView tabSelected="1" zoomScale="120" zoomScaleNormal="120" workbookViewId="0"/>
  </sheetViews>
  <sheetFormatPr defaultColWidth="141" defaultRowHeight="12.75" x14ac:dyDescent="0.2"/>
  <sheetData>
    <row r="1" spans="1:1" ht="43.5" customHeight="1" x14ac:dyDescent="0.2">
      <c r="A1" s="69" t="s">
        <v>446</v>
      </c>
    </row>
    <row r="2" spans="1:1" ht="47.45" customHeight="1" x14ac:dyDescent="0.2">
      <c r="A2" s="69" t="s">
        <v>189</v>
      </c>
    </row>
    <row r="3" spans="1:1" ht="51" x14ac:dyDescent="0.2">
      <c r="A3" s="69" t="s">
        <v>188</v>
      </c>
    </row>
    <row r="4" spans="1:1" ht="51" x14ac:dyDescent="0.2">
      <c r="A4" s="69" t="s">
        <v>190</v>
      </c>
    </row>
    <row r="5" spans="1:1" ht="63.75" x14ac:dyDescent="0.2">
      <c r="A5" s="69" t="s">
        <v>248</v>
      </c>
    </row>
    <row r="8" spans="1:1" ht="54.95" customHeight="1" x14ac:dyDescent="0.2">
      <c r="A8" s="92" t="s">
        <v>441</v>
      </c>
    </row>
  </sheetData>
  <printOptions gridLines="1"/>
  <pageMargins left="0.70866141732283472" right="0.70866141732283472" top="0.74803149606299213" bottom="0.74803149606299213" header="0.31496062992125984" footer="0.31496062992125984"/>
  <pageSetup paperSize="9" scale="94" orientation="landscape" r:id="rId1"/>
  <headerFooter>
    <oddFooter>&amp;L&amp;A
Copyright © 2023 by KCE Trials. 
All rights reserved.
&amp;C&amp;8&amp;F&amp;R&amp;8&amp;P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4"/>
  <sheetViews>
    <sheetView zoomScaleNormal="100" workbookViewId="0"/>
  </sheetViews>
  <sheetFormatPr defaultRowHeight="12.75" x14ac:dyDescent="0.2"/>
  <cols>
    <col min="1" max="1" width="48.42578125" customWidth="1"/>
    <col min="2" max="2" width="47.5703125" customWidth="1"/>
    <col min="3" max="3" width="10.85546875" customWidth="1"/>
    <col min="4" max="4" width="24.5703125" customWidth="1"/>
    <col min="5" max="5" width="58" customWidth="1"/>
  </cols>
  <sheetData>
    <row r="1" spans="1:4" ht="16.5" thickBot="1" x14ac:dyDescent="0.3">
      <c r="A1" s="46" t="s">
        <v>23</v>
      </c>
      <c r="B1" s="116" t="str">
        <f>B7</f>
        <v>KCE number</v>
      </c>
      <c r="C1" s="47"/>
      <c r="D1" s="32" t="str">
        <f>B11</f>
        <v>DD/MM/YYYY</v>
      </c>
    </row>
    <row r="2" spans="1:4" ht="13.5" thickBot="1" x14ac:dyDescent="0.25">
      <c r="A2" s="37" t="s">
        <v>97</v>
      </c>
      <c r="B2" s="86"/>
      <c r="C2" s="29"/>
      <c r="D2" s="30"/>
    </row>
    <row r="3" spans="1:4" ht="16.5" thickBot="1" x14ac:dyDescent="0.3">
      <c r="A3" s="46" t="s">
        <v>59</v>
      </c>
      <c r="B3" s="85"/>
      <c r="C3" s="47"/>
      <c r="D3" s="48"/>
    </row>
    <row r="4" spans="1:4" x14ac:dyDescent="0.2">
      <c r="B4" s="87"/>
    </row>
    <row r="5" spans="1:4" x14ac:dyDescent="0.2">
      <c r="A5" s="14" t="s">
        <v>122</v>
      </c>
      <c r="B5" s="61"/>
    </row>
    <row r="6" spans="1:4" x14ac:dyDescent="0.2">
      <c r="A6" s="14"/>
      <c r="B6" s="33"/>
    </row>
    <row r="7" spans="1:4" x14ac:dyDescent="0.2">
      <c r="A7" s="14" t="s">
        <v>123</v>
      </c>
      <c r="B7" s="62" t="s">
        <v>114</v>
      </c>
      <c r="C7" s="29"/>
      <c r="D7" s="45" t="s">
        <v>115</v>
      </c>
    </row>
    <row r="8" spans="1:4" x14ac:dyDescent="0.2">
      <c r="A8" s="14"/>
      <c r="B8" s="64"/>
      <c r="C8" s="29"/>
      <c r="D8" s="45"/>
    </row>
    <row r="9" spans="1:4" x14ac:dyDescent="0.2">
      <c r="A9" s="14" t="s">
        <v>124</v>
      </c>
      <c r="B9" s="62"/>
    </row>
    <row r="10" spans="1:4" x14ac:dyDescent="0.2">
      <c r="A10" s="14"/>
      <c r="B10" s="64"/>
    </row>
    <row r="11" spans="1:4" x14ac:dyDescent="0.2">
      <c r="A11" s="14" t="s">
        <v>126</v>
      </c>
      <c r="B11" s="63" t="s">
        <v>121</v>
      </c>
    </row>
    <row r="12" spans="1:4" x14ac:dyDescent="0.2">
      <c r="A12" s="14"/>
    </row>
    <row r="13" spans="1:4" ht="12.95" customHeight="1" x14ac:dyDescent="0.2">
      <c r="A13" s="169" t="s">
        <v>346</v>
      </c>
      <c r="B13" t="s">
        <v>347</v>
      </c>
      <c r="C13" s="61"/>
    </row>
    <row r="14" spans="1:4" ht="12.95" customHeight="1" x14ac:dyDescent="0.2">
      <c r="A14" s="169"/>
      <c r="B14" s="13" t="s">
        <v>348</v>
      </c>
      <c r="C14" s="61"/>
    </row>
    <row r="15" spans="1:4" ht="12.95" customHeight="1" x14ac:dyDescent="0.2">
      <c r="A15" s="169"/>
      <c r="B15" t="s">
        <v>345</v>
      </c>
      <c r="C15" s="61"/>
    </row>
    <row r="16" spans="1:4" x14ac:dyDescent="0.2">
      <c r="A16" s="14"/>
      <c r="B16" s="34"/>
    </row>
    <row r="17" spans="1:5" x14ac:dyDescent="0.2">
      <c r="A17" s="14" t="s">
        <v>349</v>
      </c>
      <c r="B17" s="34"/>
      <c r="C17" s="61"/>
    </row>
    <row r="18" spans="1:5" x14ac:dyDescent="0.2">
      <c r="A18" s="14" t="s">
        <v>135</v>
      </c>
      <c r="B18" s="35"/>
    </row>
    <row r="19" spans="1:5" x14ac:dyDescent="0.2">
      <c r="A19" s="14" t="s">
        <v>14</v>
      </c>
      <c r="B19" s="34"/>
      <c r="C19" s="61"/>
    </row>
    <row r="20" spans="1:5" x14ac:dyDescent="0.2">
      <c r="A20" s="118" t="s">
        <v>365</v>
      </c>
      <c r="B20" s="34"/>
      <c r="C20" s="61"/>
      <c r="D20" s="45" t="s">
        <v>241</v>
      </c>
    </row>
    <row r="21" spans="1:5" ht="63.75" x14ac:dyDescent="0.2">
      <c r="A21" s="118" t="s">
        <v>321</v>
      </c>
      <c r="B21" s="34"/>
      <c r="C21" s="61"/>
      <c r="D21" s="45" t="s">
        <v>241</v>
      </c>
    </row>
    <row r="22" spans="1:5" x14ac:dyDescent="0.2">
      <c r="A22" s="118" t="s">
        <v>338</v>
      </c>
      <c r="B22" s="34"/>
      <c r="C22" s="61"/>
      <c r="D22" s="45" t="s">
        <v>241</v>
      </c>
    </row>
    <row r="23" spans="1:5" x14ac:dyDescent="0.2">
      <c r="A23" s="14"/>
      <c r="B23" s="34"/>
      <c r="C23" s="33"/>
      <c r="D23" s="45"/>
    </row>
    <row r="24" spans="1:5" x14ac:dyDescent="0.2">
      <c r="A24" s="14"/>
      <c r="B24" s="34"/>
      <c r="C24" s="13"/>
      <c r="D24" t="s">
        <v>75</v>
      </c>
    </row>
    <row r="25" spans="1:5" ht="12.95" customHeight="1" x14ac:dyDescent="0.2">
      <c r="A25" s="169" t="s">
        <v>15</v>
      </c>
      <c r="B25" s="13" t="s">
        <v>429</v>
      </c>
      <c r="C25" s="36"/>
      <c r="D25" s="82"/>
    </row>
    <row r="26" spans="1:5" x14ac:dyDescent="0.2">
      <c r="A26" s="169"/>
      <c r="B26" s="13" t="s">
        <v>430</v>
      </c>
      <c r="C26" s="33"/>
      <c r="D26" s="82"/>
    </row>
    <row r="27" spans="1:5" x14ac:dyDescent="0.2">
      <c r="A27" s="169"/>
      <c r="B27" s="13" t="s">
        <v>431</v>
      </c>
      <c r="C27" s="33"/>
      <c r="D27" s="82"/>
    </row>
    <row r="28" spans="1:5" x14ac:dyDescent="0.2">
      <c r="A28" s="169"/>
      <c r="B28" s="13" t="s">
        <v>119</v>
      </c>
      <c r="C28" s="33"/>
      <c r="D28" s="82"/>
    </row>
    <row r="29" spans="1:5" x14ac:dyDescent="0.2">
      <c r="A29" s="169"/>
      <c r="B29" s="13" t="s">
        <v>120</v>
      </c>
      <c r="C29" s="33"/>
      <c r="D29" s="83"/>
    </row>
    <row r="30" spans="1:5" x14ac:dyDescent="0.2">
      <c r="A30" s="169"/>
      <c r="B30" s="13" t="s">
        <v>165</v>
      </c>
      <c r="D30" s="65">
        <f>(D29-D25)/30.5</f>
        <v>0</v>
      </c>
      <c r="E30" s="84"/>
    </row>
    <row r="31" spans="1:5" ht="25.5" x14ac:dyDescent="0.2">
      <c r="A31" s="169"/>
      <c r="B31" s="66" t="s">
        <v>166</v>
      </c>
      <c r="D31" s="65">
        <f>(D28-D25)/30.5</f>
        <v>0</v>
      </c>
    </row>
    <row r="32" spans="1:5" x14ac:dyDescent="0.2">
      <c r="A32" s="169"/>
      <c r="B32" s="13" t="s">
        <v>132</v>
      </c>
      <c r="D32" s="141">
        <f>(D29-D25)/365</f>
        <v>0</v>
      </c>
    </row>
    <row r="33" spans="1:5" x14ac:dyDescent="0.2">
      <c r="A33" s="169"/>
      <c r="B33" s="13" t="s">
        <v>167</v>
      </c>
      <c r="D33" s="65">
        <f>(D26-D25)/30.5</f>
        <v>0</v>
      </c>
    </row>
    <row r="34" spans="1:5" ht="25.5" customHeight="1" x14ac:dyDescent="0.2">
      <c r="A34" s="169" t="s">
        <v>27</v>
      </c>
      <c r="B34" s="66" t="s">
        <v>130</v>
      </c>
      <c r="D34" s="61"/>
      <c r="E34" s="13"/>
    </row>
    <row r="35" spans="1:5" ht="25.5" x14ac:dyDescent="0.2">
      <c r="A35" s="169"/>
      <c r="B35" s="66" t="s">
        <v>129</v>
      </c>
      <c r="D35" s="129">
        <f>IF(C41&gt;2,(D31/2-D34),IF(C41=2,(D31/3-D34),0))</f>
        <v>0</v>
      </c>
    </row>
    <row r="36" spans="1:5" x14ac:dyDescent="0.2">
      <c r="A36" s="169"/>
      <c r="B36" s="127"/>
      <c r="C36" s="128"/>
      <c r="D36" s="130"/>
    </row>
    <row r="38" spans="1:5" x14ac:dyDescent="0.2">
      <c r="A38" s="118"/>
      <c r="D38" s="33"/>
    </row>
    <row r="39" spans="1:5" x14ac:dyDescent="0.2">
      <c r="A39" s="118" t="s">
        <v>300</v>
      </c>
      <c r="D39" s="61"/>
    </row>
    <row r="40" spans="1:5" x14ac:dyDescent="0.2">
      <c r="A40" s="118" t="s">
        <v>309</v>
      </c>
      <c r="D40" s="61"/>
      <c r="E40" s="45" t="s">
        <v>241</v>
      </c>
    </row>
    <row r="41" spans="1:5" ht="38.25" x14ac:dyDescent="0.2">
      <c r="A41" s="114" t="s">
        <v>286</v>
      </c>
      <c r="B41" s="126" t="s">
        <v>289</v>
      </c>
      <c r="C41" s="61">
        <v>2</v>
      </c>
      <c r="D41" s="45" t="s">
        <v>241</v>
      </c>
    </row>
    <row r="42" spans="1:5" x14ac:dyDescent="0.2">
      <c r="A42" s="94"/>
      <c r="D42" s="33"/>
    </row>
    <row r="44" spans="1:5" x14ac:dyDescent="0.2">
      <c r="A44" s="62" t="s">
        <v>125</v>
      </c>
    </row>
  </sheetData>
  <mergeCells count="3">
    <mergeCell ref="A13:A15"/>
    <mergeCell ref="A25:A33"/>
    <mergeCell ref="A34:A36"/>
  </mergeCells>
  <dataValidations count="1">
    <dataValidation type="whole" allowBlank="1" showInputMessage="1" showErrorMessage="1" sqref="C13:C15" xr:uid="{00000000-0002-0000-0100-000000000000}">
      <formula1>0</formula1>
      <formula2>1000000</formula2>
    </dataValidation>
  </dataValidations>
  <printOptions gridLines="1"/>
  <pageMargins left="0.70866141732283472" right="0.70866141732283472" top="0.74803149606299213" bottom="0.74803149606299213" header="0.31496062992125984" footer="0.31496062992125984"/>
  <pageSetup paperSize="9" scale="70" orientation="landscape" r:id="rId1"/>
  <headerFooter>
    <oddFooter>&amp;L&amp;"Arial,Cursief"&amp;8&amp;A - &amp;F
Copyright © 2023 by KCE Trials. All rights reserved.&amp;C&amp;"Arial,Cursief"&amp;8&amp;P/&amp;N&amp;R&amp;"Arial,Cursief"&amp;8Budget tool v6.2</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Lists!$B$4:$B$5</xm:f>
          </x14:formula1>
          <xm:sqref>C20:C22 D40</xm:sqref>
        </x14:dataValidation>
        <x14:dataValidation type="list" allowBlank="1" showInputMessage="1" showErrorMessage="1" xr:uid="{00000000-0002-0000-0100-000002000000}">
          <x14:formula1>
            <xm:f>Lists!$B$6:$B$9</xm:f>
          </x14:formula1>
          <xm:sqref>C41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workbookViewId="0">
      <selection activeCell="A6" sqref="A6"/>
    </sheetView>
  </sheetViews>
  <sheetFormatPr defaultRowHeight="12.75" x14ac:dyDescent="0.2"/>
  <cols>
    <col min="1" max="1" width="10.28515625" bestFit="1" customWidth="1"/>
  </cols>
  <sheetData>
    <row r="1" spans="1:2" x14ac:dyDescent="0.2">
      <c r="A1" s="115" t="s">
        <v>237</v>
      </c>
      <c r="B1" s="115" t="s">
        <v>238</v>
      </c>
    </row>
    <row r="2" spans="1:2" x14ac:dyDescent="0.2">
      <c r="A2" s="13" t="s">
        <v>287</v>
      </c>
      <c r="B2" s="13" t="s">
        <v>239</v>
      </c>
    </row>
    <row r="3" spans="1:2" x14ac:dyDescent="0.2">
      <c r="A3" s="13" t="s">
        <v>287</v>
      </c>
      <c r="B3" s="13" t="s">
        <v>240</v>
      </c>
    </row>
    <row r="4" spans="1:2" x14ac:dyDescent="0.2">
      <c r="A4" s="13" t="s">
        <v>242</v>
      </c>
      <c r="B4" s="13" t="s">
        <v>243</v>
      </c>
    </row>
    <row r="5" spans="1:2" x14ac:dyDescent="0.2">
      <c r="A5" s="13" t="s">
        <v>242</v>
      </c>
      <c r="B5" s="13" t="s">
        <v>244</v>
      </c>
    </row>
    <row r="6" spans="1:2" x14ac:dyDescent="0.2">
      <c r="A6" s="125" t="s">
        <v>288</v>
      </c>
      <c r="B6">
        <v>1</v>
      </c>
    </row>
    <row r="7" spans="1:2" x14ac:dyDescent="0.2">
      <c r="A7" s="125" t="s">
        <v>288</v>
      </c>
      <c r="B7">
        <v>2</v>
      </c>
    </row>
    <row r="8" spans="1:2" x14ac:dyDescent="0.2">
      <c r="A8" s="125" t="s">
        <v>288</v>
      </c>
      <c r="B8">
        <v>3</v>
      </c>
    </row>
    <row r="9" spans="1:2" x14ac:dyDescent="0.2">
      <c r="A9" s="125" t="s">
        <v>288</v>
      </c>
      <c r="B9">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3"/>
  <sheetViews>
    <sheetView zoomScaleNormal="100" workbookViewId="0">
      <selection activeCell="C17" sqref="C17"/>
    </sheetView>
  </sheetViews>
  <sheetFormatPr defaultRowHeight="12.75" x14ac:dyDescent="0.2"/>
  <cols>
    <col min="1" max="1" width="31.140625" customWidth="1"/>
    <col min="2" max="2" width="16.42578125" customWidth="1"/>
    <col min="3" max="3" width="28.85546875" customWidth="1"/>
    <col min="4" max="4" width="33.85546875" customWidth="1"/>
    <col min="5" max="5" width="32" customWidth="1"/>
    <col min="6" max="6" width="33.5703125" customWidth="1"/>
  </cols>
  <sheetData>
    <row r="1" spans="1:6" ht="16.5" thickBot="1" x14ac:dyDescent="0.3">
      <c r="A1" s="46" t="s">
        <v>23</v>
      </c>
      <c r="B1" s="47"/>
      <c r="C1" s="47" t="str">
        <f>'Study Parameters'!B7</f>
        <v>KCE number</v>
      </c>
      <c r="D1" s="47"/>
      <c r="E1" s="32" t="str">
        <f>'Study Parameters'!B11</f>
        <v>DD/MM/YYYY</v>
      </c>
      <c r="F1" s="32"/>
    </row>
    <row r="2" spans="1:6" ht="15.75" thickBot="1" x14ac:dyDescent="0.25">
      <c r="A2" s="104" t="s">
        <v>213</v>
      </c>
      <c r="B2" s="161"/>
      <c r="C2" s="161"/>
      <c r="D2" s="161"/>
      <c r="E2" s="59"/>
      <c r="F2" s="59"/>
    </row>
    <row r="3" spans="1:6" ht="16.5" thickBot="1" x14ac:dyDescent="0.3">
      <c r="A3" s="60" t="s">
        <v>60</v>
      </c>
      <c r="B3" s="46"/>
      <c r="C3" s="47"/>
      <c r="D3" s="47"/>
      <c r="E3" s="48"/>
      <c r="F3" s="48"/>
    </row>
    <row r="4" spans="1:6" x14ac:dyDescent="0.2">
      <c r="B4" s="14"/>
    </row>
    <row r="5" spans="1:6" x14ac:dyDescent="0.2">
      <c r="A5" s="14" t="s">
        <v>16</v>
      </c>
    </row>
    <row r="6" spans="1:6" ht="38.25" x14ac:dyDescent="0.2">
      <c r="A6" s="14" t="s">
        <v>17</v>
      </c>
      <c r="B6" s="118" t="s">
        <v>369</v>
      </c>
      <c r="C6" t="s">
        <v>370</v>
      </c>
    </row>
    <row r="7" spans="1:6" x14ac:dyDescent="0.2">
      <c r="A7" s="13" t="s">
        <v>18</v>
      </c>
      <c r="B7" s="162">
        <v>52</v>
      </c>
      <c r="C7" s="162">
        <f>B7*$C$25</f>
        <v>56.284800000000004</v>
      </c>
      <c r="D7" s="13" t="s">
        <v>150</v>
      </c>
    </row>
    <row r="8" spans="1:6" x14ac:dyDescent="0.2">
      <c r="A8" s="13" t="s">
        <v>19</v>
      </c>
      <c r="B8" s="162">
        <v>52</v>
      </c>
      <c r="C8" s="162">
        <f t="shared" ref="C8:C19" si="0">B8*$C$25</f>
        <v>56.284800000000004</v>
      </c>
      <c r="D8" s="13" t="s">
        <v>151</v>
      </c>
    </row>
    <row r="9" spans="1:6" x14ac:dyDescent="0.2">
      <c r="A9" s="13" t="s">
        <v>98</v>
      </c>
      <c r="B9" s="162">
        <v>104</v>
      </c>
      <c r="C9" s="162">
        <f t="shared" si="0"/>
        <v>112.56960000000001</v>
      </c>
      <c r="D9" s="13" t="s">
        <v>152</v>
      </c>
    </row>
    <row r="10" spans="1:6" x14ac:dyDescent="0.2">
      <c r="A10" s="13" t="s">
        <v>139</v>
      </c>
      <c r="B10" s="162">
        <v>83.2</v>
      </c>
      <c r="C10" s="162">
        <f t="shared" si="0"/>
        <v>90.055680000000009</v>
      </c>
      <c r="D10" s="13" t="s">
        <v>153</v>
      </c>
    </row>
    <row r="11" spans="1:6" x14ac:dyDescent="0.2">
      <c r="A11" s="13" t="s">
        <v>61</v>
      </c>
      <c r="B11" s="162">
        <v>36.4</v>
      </c>
      <c r="C11" s="162">
        <f t="shared" si="0"/>
        <v>39.399360000000001</v>
      </c>
      <c r="D11" s="13" t="s">
        <v>154</v>
      </c>
    </row>
    <row r="12" spans="1:6" x14ac:dyDescent="0.2">
      <c r="A12" s="13" t="s">
        <v>51</v>
      </c>
      <c r="B12" s="162">
        <v>57.2</v>
      </c>
      <c r="C12" s="162">
        <f t="shared" si="0"/>
        <v>61.913280000000007</v>
      </c>
      <c r="D12" s="13" t="s">
        <v>51</v>
      </c>
    </row>
    <row r="13" spans="1:6" x14ac:dyDescent="0.2">
      <c r="A13" s="13" t="s">
        <v>101</v>
      </c>
      <c r="B13" s="162">
        <v>62.400000000000006</v>
      </c>
      <c r="C13" s="162">
        <f t="shared" si="0"/>
        <v>67.541760000000011</v>
      </c>
      <c r="D13" s="13" t="s">
        <v>155</v>
      </c>
    </row>
    <row r="14" spans="1:6" x14ac:dyDescent="0.2">
      <c r="A14" s="13" t="s">
        <v>100</v>
      </c>
      <c r="B14" s="162">
        <v>52</v>
      </c>
      <c r="C14" s="162">
        <f t="shared" si="0"/>
        <v>56.284800000000004</v>
      </c>
      <c r="D14" s="13" t="s">
        <v>156</v>
      </c>
    </row>
    <row r="15" spans="1:6" x14ac:dyDescent="0.2">
      <c r="A15" s="13" t="s">
        <v>133</v>
      </c>
      <c r="B15" s="162">
        <v>41.6</v>
      </c>
      <c r="C15" s="162">
        <v>50.19</v>
      </c>
      <c r="D15" s="13" t="s">
        <v>157</v>
      </c>
    </row>
    <row r="16" spans="1:6" x14ac:dyDescent="0.2">
      <c r="A16" s="13" t="s">
        <v>128</v>
      </c>
      <c r="B16" s="162">
        <v>62.400000000000006</v>
      </c>
      <c r="C16" s="162">
        <f t="shared" si="0"/>
        <v>67.541760000000011</v>
      </c>
      <c r="D16" s="13" t="s">
        <v>158</v>
      </c>
    </row>
    <row r="17" spans="1:6" x14ac:dyDescent="0.2">
      <c r="A17" s="13" t="s">
        <v>134</v>
      </c>
      <c r="B17" s="162">
        <v>104</v>
      </c>
      <c r="C17" s="162">
        <f t="shared" si="0"/>
        <v>112.56960000000001</v>
      </c>
      <c r="D17" s="13" t="s">
        <v>159</v>
      </c>
    </row>
    <row r="18" spans="1:6" x14ac:dyDescent="0.2">
      <c r="A18" s="13" t="s">
        <v>138</v>
      </c>
      <c r="B18" s="162">
        <v>62.400000000000006</v>
      </c>
      <c r="C18" s="162">
        <f t="shared" si="0"/>
        <v>67.541760000000011</v>
      </c>
      <c r="D18" s="13" t="s">
        <v>160</v>
      </c>
    </row>
    <row r="19" spans="1:6" x14ac:dyDescent="0.2">
      <c r="A19" s="13" t="s">
        <v>140</v>
      </c>
      <c r="B19" s="162">
        <v>83.2</v>
      </c>
      <c r="C19" s="162">
        <f t="shared" si="0"/>
        <v>90.055680000000009</v>
      </c>
      <c r="D19" s="13" t="s">
        <v>161</v>
      </c>
    </row>
    <row r="20" spans="1:6" x14ac:dyDescent="0.2">
      <c r="A20" s="89" t="s">
        <v>127</v>
      </c>
      <c r="B20" s="67"/>
    </row>
    <row r="21" spans="1:6" x14ac:dyDescent="0.2">
      <c r="A21" s="14" t="s">
        <v>22</v>
      </c>
    </row>
    <row r="22" spans="1:6" x14ac:dyDescent="0.2">
      <c r="A22" s="13" t="s">
        <v>102</v>
      </c>
      <c r="C22" s="90">
        <v>0.1</v>
      </c>
    </row>
    <row r="23" spans="1:6" x14ac:dyDescent="0.2">
      <c r="A23" s="13" t="s">
        <v>20</v>
      </c>
      <c r="C23" s="90">
        <v>0.17</v>
      </c>
    </row>
    <row r="24" spans="1:6" x14ac:dyDescent="0.2">
      <c r="A24" s="13" t="s">
        <v>21</v>
      </c>
      <c r="C24" s="90">
        <v>0.21</v>
      </c>
    </row>
    <row r="25" spans="1:6" x14ac:dyDescent="0.2">
      <c r="A25" s="13" t="s">
        <v>367</v>
      </c>
      <c r="C25" s="160">
        <v>1.0824</v>
      </c>
    </row>
    <row r="26" spans="1:6" x14ac:dyDescent="0.2">
      <c r="A26" s="13"/>
      <c r="C26" s="160"/>
    </row>
    <row r="27" spans="1:6" x14ac:dyDescent="0.2">
      <c r="A27" s="13"/>
      <c r="B27" s="13" t="s">
        <v>371</v>
      </c>
      <c r="C27" s="163" t="s">
        <v>370</v>
      </c>
    </row>
    <row r="28" spans="1:6" ht="45" customHeight="1" x14ac:dyDescent="0.2">
      <c r="A28" s="13" t="s">
        <v>372</v>
      </c>
      <c r="B28" s="162">
        <v>1040</v>
      </c>
      <c r="C28" s="162">
        <f>B28*$C$25</f>
        <v>1125.6960000000001</v>
      </c>
      <c r="D28" s="13" t="s">
        <v>141</v>
      </c>
      <c r="E28" s="172" t="s">
        <v>419</v>
      </c>
      <c r="F28" s="172"/>
    </row>
    <row r="29" spans="1:6" x14ac:dyDescent="0.2">
      <c r="A29" t="s">
        <v>53</v>
      </c>
      <c r="B29" s="162">
        <v>260</v>
      </c>
      <c r="C29" s="162">
        <f>B29*$C$25</f>
        <v>281.42400000000004</v>
      </c>
      <c r="D29" t="s">
        <v>234</v>
      </c>
      <c r="E29" s="173" t="s">
        <v>235</v>
      </c>
      <c r="F29" s="173"/>
    </row>
    <row r="30" spans="1:6" ht="29.45" customHeight="1" x14ac:dyDescent="0.2">
      <c r="A30" s="13" t="s">
        <v>196</v>
      </c>
      <c r="B30" s="162">
        <v>68</v>
      </c>
      <c r="C30" s="162">
        <f>B30*$C$25</f>
        <v>73.603200000000001</v>
      </c>
      <c r="E30" s="172" t="s">
        <v>199</v>
      </c>
      <c r="F30" s="172"/>
    </row>
    <row r="32" spans="1:6" ht="15.75" x14ac:dyDescent="0.25">
      <c r="A32" s="182" t="s">
        <v>203</v>
      </c>
      <c r="B32" s="183"/>
    </row>
    <row r="33" spans="1:8" s="91" customFormat="1" ht="39.75" customHeight="1" x14ac:dyDescent="0.2">
      <c r="A33" s="173"/>
      <c r="B33" s="173"/>
      <c r="C33"/>
      <c r="D33" s="65" t="s">
        <v>209</v>
      </c>
      <c r="E33" s="65" t="s">
        <v>208</v>
      </c>
      <c r="F33" s="65" t="s">
        <v>210</v>
      </c>
      <c r="G33"/>
    </row>
    <row r="34" spans="1:8" ht="27" customHeight="1" x14ac:dyDescent="0.2">
      <c r="A34" s="180" t="s">
        <v>204</v>
      </c>
      <c r="B34" s="180"/>
      <c r="D34" s="101">
        <v>0.2</v>
      </c>
      <c r="E34" s="101">
        <v>0.2</v>
      </c>
      <c r="F34" s="101">
        <v>0.3</v>
      </c>
    </row>
    <row r="35" spans="1:8" ht="25.5" customHeight="1" x14ac:dyDescent="0.2">
      <c r="A35" s="181" t="s">
        <v>435</v>
      </c>
      <c r="B35" s="181"/>
      <c r="C35" s="159"/>
      <c r="D35" s="102"/>
      <c r="E35" s="102"/>
      <c r="F35" s="102"/>
      <c r="G35" s="159"/>
    </row>
    <row r="36" spans="1:8" ht="12.75" customHeight="1" x14ac:dyDescent="0.2">
      <c r="A36" s="172" t="s">
        <v>205</v>
      </c>
      <c r="B36" s="172"/>
      <c r="C36" s="98">
        <v>2.5000000000000001E-2</v>
      </c>
      <c r="D36" s="101">
        <f>C36*15</f>
        <v>0.375</v>
      </c>
      <c r="E36" s="101">
        <f>C36*25</f>
        <v>0.625</v>
      </c>
      <c r="F36" s="101"/>
    </row>
    <row r="37" spans="1:8" ht="12.6" customHeight="1" x14ac:dyDescent="0.2">
      <c r="A37" s="172" t="s">
        <v>206</v>
      </c>
      <c r="B37" s="172"/>
      <c r="C37" s="98">
        <v>1.2500000000000001E-2</v>
      </c>
      <c r="D37" s="101"/>
      <c r="E37" s="101">
        <f>C37*5</f>
        <v>6.25E-2</v>
      </c>
      <c r="F37" s="101"/>
    </row>
    <row r="38" spans="1:8" ht="12.6" customHeight="1" x14ac:dyDescent="0.2">
      <c r="A38" s="172" t="s">
        <v>207</v>
      </c>
      <c r="B38" s="172"/>
      <c r="C38" s="99">
        <v>6.2500000000000003E-3</v>
      </c>
      <c r="D38" s="101"/>
      <c r="E38" s="101"/>
      <c r="F38" s="101">
        <f>C38*100</f>
        <v>0.625</v>
      </c>
    </row>
    <row r="39" spans="1:8" x14ac:dyDescent="0.2">
      <c r="A39" s="184" t="s">
        <v>211</v>
      </c>
      <c r="B39" s="184"/>
      <c r="D39" s="113">
        <f>SUM(D34:D38)</f>
        <v>0.57499999999999996</v>
      </c>
      <c r="E39" s="113">
        <f>SUM(E34:E38)</f>
        <v>0.88749999999999996</v>
      </c>
      <c r="F39" s="113">
        <f>SUM(F34:F38)</f>
        <v>0.92500000000000004</v>
      </c>
    </row>
    <row r="40" spans="1:8" ht="41.25" customHeight="1" x14ac:dyDescent="0.2">
      <c r="A40" s="172"/>
      <c r="B40" s="172"/>
      <c r="H40" s="107"/>
    </row>
    <row r="41" spans="1:8" x14ac:dyDescent="0.2">
      <c r="A41" t="s">
        <v>231</v>
      </c>
      <c r="B41" t="s">
        <v>260</v>
      </c>
      <c r="C41" s="107">
        <v>0.01</v>
      </c>
      <c r="D41" s="103">
        <f>0.1+(15*C41)</f>
        <v>0.25</v>
      </c>
    </row>
    <row r="42" spans="1:8" ht="50.1" customHeight="1" x14ac:dyDescent="0.2">
      <c r="A42" s="172" t="s">
        <v>212</v>
      </c>
      <c r="B42" s="172"/>
    </row>
    <row r="43" spans="1:8" ht="33" customHeight="1" x14ac:dyDescent="0.2">
      <c r="A43" s="172"/>
      <c r="B43" s="172"/>
      <c r="C43" s="179" t="s">
        <v>371</v>
      </c>
      <c r="D43" s="179"/>
      <c r="E43" s="170" t="s">
        <v>373</v>
      </c>
      <c r="F43" s="170"/>
    </row>
    <row r="44" spans="1:8" ht="51.75" customHeight="1" x14ac:dyDescent="0.25">
      <c r="A44" s="177" t="s">
        <v>253</v>
      </c>
      <c r="B44" s="178"/>
      <c r="C44" s="106" t="s">
        <v>214</v>
      </c>
      <c r="D44" s="106" t="s">
        <v>215</v>
      </c>
      <c r="E44" s="106" t="s">
        <v>214</v>
      </c>
      <c r="F44" s="106" t="s">
        <v>215</v>
      </c>
    </row>
    <row r="45" spans="1:8" ht="38.25" customHeight="1" x14ac:dyDescent="0.2">
      <c r="A45" s="174" t="s">
        <v>225</v>
      </c>
      <c r="B45" s="175"/>
      <c r="C45" s="164">
        <f>364</f>
        <v>364</v>
      </c>
      <c r="D45" s="164">
        <v>520</v>
      </c>
      <c r="E45" s="164">
        <f>C45*$C$25</f>
        <v>393.99360000000001</v>
      </c>
      <c r="F45" s="164">
        <f>D45*$C$25</f>
        <v>562.84800000000007</v>
      </c>
    </row>
    <row r="46" spans="1:8" ht="12.95" customHeight="1" x14ac:dyDescent="0.2">
      <c r="A46" s="174" t="s">
        <v>226</v>
      </c>
      <c r="B46" s="175"/>
      <c r="C46" s="164">
        <v>208</v>
      </c>
      <c r="D46" s="164">
        <v>312</v>
      </c>
      <c r="E46" s="164">
        <f t="shared" ref="E46:E59" si="1">C46*$C$25</f>
        <v>225.13920000000002</v>
      </c>
      <c r="F46" s="164">
        <f t="shared" ref="F46:F52" si="2">D46*$C$25</f>
        <v>337.7088</v>
      </c>
    </row>
    <row r="47" spans="1:8" ht="12.95" customHeight="1" x14ac:dyDescent="0.2">
      <c r="A47" s="174" t="s">
        <v>227</v>
      </c>
      <c r="B47" s="175"/>
      <c r="C47" s="164">
        <v>0</v>
      </c>
      <c r="D47" s="164">
        <v>68</v>
      </c>
      <c r="E47" s="164">
        <f t="shared" si="1"/>
        <v>0</v>
      </c>
      <c r="F47" s="164">
        <f t="shared" si="2"/>
        <v>73.603200000000001</v>
      </c>
    </row>
    <row r="48" spans="1:8" ht="25.5" customHeight="1" x14ac:dyDescent="0.2">
      <c r="A48" s="174" t="s">
        <v>229</v>
      </c>
      <c r="B48" s="175"/>
      <c r="C48" s="164">
        <v>52</v>
      </c>
      <c r="D48" s="164">
        <v>52</v>
      </c>
      <c r="E48" s="164">
        <f t="shared" si="1"/>
        <v>56.284800000000004</v>
      </c>
      <c r="F48" s="164">
        <f t="shared" si="2"/>
        <v>56.284800000000004</v>
      </c>
    </row>
    <row r="49" spans="1:6" ht="25.5" customHeight="1" x14ac:dyDescent="0.2">
      <c r="A49" s="174" t="s">
        <v>216</v>
      </c>
      <c r="B49" s="175"/>
      <c r="C49" s="164"/>
      <c r="D49" s="164" t="s">
        <v>217</v>
      </c>
      <c r="E49" s="164"/>
      <c r="F49" s="164" t="s">
        <v>217</v>
      </c>
    </row>
    <row r="50" spans="1:6" ht="25.5" customHeight="1" x14ac:dyDescent="0.2">
      <c r="A50" s="174" t="s">
        <v>218</v>
      </c>
      <c r="B50" s="175"/>
      <c r="C50" s="164">
        <v>0</v>
      </c>
      <c r="D50" s="164">
        <v>16</v>
      </c>
      <c r="E50" s="164">
        <f t="shared" si="1"/>
        <v>0</v>
      </c>
      <c r="F50" s="164">
        <f t="shared" si="2"/>
        <v>17.3184</v>
      </c>
    </row>
    <row r="51" spans="1:6" ht="12.95" customHeight="1" x14ac:dyDescent="0.2">
      <c r="A51" s="174" t="s">
        <v>219</v>
      </c>
      <c r="B51" s="175"/>
      <c r="C51" s="164">
        <v>0</v>
      </c>
      <c r="D51" s="164">
        <v>21</v>
      </c>
      <c r="E51" s="164">
        <f t="shared" si="1"/>
        <v>0</v>
      </c>
      <c r="F51" s="164">
        <f t="shared" si="2"/>
        <v>22.730399999999999</v>
      </c>
    </row>
    <row r="52" spans="1:6" ht="45.6" customHeight="1" x14ac:dyDescent="0.2">
      <c r="A52" s="174" t="s">
        <v>228</v>
      </c>
      <c r="B52" s="175"/>
      <c r="C52" s="164">
        <v>104</v>
      </c>
      <c r="D52" s="164">
        <v>104</v>
      </c>
      <c r="E52" s="164">
        <f t="shared" si="1"/>
        <v>112.56960000000001</v>
      </c>
      <c r="F52" s="164">
        <f t="shared" si="2"/>
        <v>112.56960000000001</v>
      </c>
    </row>
    <row r="53" spans="1:6" ht="28.5" customHeight="1" x14ac:dyDescent="0.2">
      <c r="A53" s="176"/>
      <c r="B53" s="176"/>
    </row>
    <row r="54" spans="1:6" ht="50.45" customHeight="1" x14ac:dyDescent="0.25">
      <c r="A54" s="177" t="s">
        <v>254</v>
      </c>
      <c r="B54" s="178"/>
      <c r="C54" s="105" t="s">
        <v>220</v>
      </c>
    </row>
    <row r="55" spans="1:6" ht="25.5" customHeight="1" x14ac:dyDescent="0.2">
      <c r="A55" s="174" t="s">
        <v>225</v>
      </c>
      <c r="B55" s="175"/>
      <c r="C55" s="164">
        <v>364</v>
      </c>
      <c r="E55" s="164">
        <f t="shared" si="1"/>
        <v>393.99360000000001</v>
      </c>
    </row>
    <row r="56" spans="1:6" ht="22.5" customHeight="1" x14ac:dyDescent="0.2">
      <c r="A56" s="174" t="s">
        <v>221</v>
      </c>
      <c r="B56" s="175"/>
      <c r="C56" s="164">
        <v>21</v>
      </c>
      <c r="E56" s="164">
        <f t="shared" si="1"/>
        <v>22.730399999999999</v>
      </c>
    </row>
    <row r="57" spans="1:6" ht="25.5" customHeight="1" x14ac:dyDescent="0.2">
      <c r="A57" s="174" t="s">
        <v>222</v>
      </c>
      <c r="B57" s="175"/>
      <c r="C57" s="164">
        <v>32</v>
      </c>
      <c r="E57" s="164">
        <f t="shared" si="1"/>
        <v>34.636800000000001</v>
      </c>
    </row>
    <row r="58" spans="1:6" ht="12.95" customHeight="1" x14ac:dyDescent="0.2">
      <c r="A58" s="174" t="s">
        <v>224</v>
      </c>
      <c r="B58" s="175"/>
      <c r="C58" s="164">
        <v>78</v>
      </c>
      <c r="E58" s="164">
        <f t="shared" si="1"/>
        <v>84.427199999999999</v>
      </c>
    </row>
    <row r="59" spans="1:6" ht="12.95" customHeight="1" x14ac:dyDescent="0.2">
      <c r="A59" s="174" t="s">
        <v>223</v>
      </c>
      <c r="B59" s="175"/>
      <c r="C59" s="164">
        <v>26</v>
      </c>
      <c r="E59" s="164">
        <f t="shared" si="1"/>
        <v>28.142400000000002</v>
      </c>
    </row>
    <row r="60" spans="1:6" x14ac:dyDescent="0.2">
      <c r="A60" s="176"/>
      <c r="B60" s="176"/>
    </row>
    <row r="61" spans="1:6" x14ac:dyDescent="0.2">
      <c r="A61" s="171"/>
      <c r="B61" s="171"/>
    </row>
    <row r="62" spans="1:6" x14ac:dyDescent="0.2">
      <c r="A62" s="170" t="s">
        <v>420</v>
      </c>
      <c r="B62" s="171"/>
    </row>
    <row r="63" spans="1:6" ht="22.5" x14ac:dyDescent="0.2">
      <c r="B63" s="78" t="s">
        <v>374</v>
      </c>
      <c r="C63" s="78" t="s">
        <v>375</v>
      </c>
    </row>
    <row r="64" spans="1:6" x14ac:dyDescent="0.2">
      <c r="A64" s="78" t="s">
        <v>376</v>
      </c>
      <c r="B64" s="165">
        <v>25000</v>
      </c>
      <c r="C64" s="165">
        <f>B64*$C$25</f>
        <v>27060</v>
      </c>
    </row>
    <row r="65" spans="1:3" x14ac:dyDescent="0.2">
      <c r="A65" s="78" t="s">
        <v>377</v>
      </c>
      <c r="B65" s="165">
        <v>40000</v>
      </c>
      <c r="C65" s="165">
        <f t="shared" ref="C65:C113" si="3">B65*$C$25</f>
        <v>43296</v>
      </c>
    </row>
    <row r="66" spans="1:3" x14ac:dyDescent="0.2">
      <c r="A66" s="78" t="s">
        <v>378</v>
      </c>
      <c r="B66" s="165">
        <v>50000</v>
      </c>
      <c r="C66" s="165">
        <f t="shared" si="3"/>
        <v>54120</v>
      </c>
    </row>
    <row r="67" spans="1:3" x14ac:dyDescent="0.2">
      <c r="A67" s="78" t="s">
        <v>379</v>
      </c>
      <c r="B67" s="165">
        <v>60000</v>
      </c>
      <c r="C67" s="165">
        <f t="shared" si="3"/>
        <v>64944</v>
      </c>
    </row>
    <row r="68" spans="1:3" ht="22.5" x14ac:dyDescent="0.2">
      <c r="A68" s="78" t="s">
        <v>380</v>
      </c>
      <c r="B68" s="165">
        <v>1040</v>
      </c>
      <c r="C68" s="165">
        <f t="shared" si="3"/>
        <v>1125.6960000000001</v>
      </c>
    </row>
    <row r="69" spans="1:3" ht="33.75" x14ac:dyDescent="0.2">
      <c r="A69" s="78" t="s">
        <v>381</v>
      </c>
      <c r="B69" s="165">
        <v>780</v>
      </c>
      <c r="C69" s="165">
        <f t="shared" si="3"/>
        <v>844.27200000000005</v>
      </c>
    </row>
    <row r="70" spans="1:3" ht="22.5" x14ac:dyDescent="0.2">
      <c r="A70" s="78" t="s">
        <v>382</v>
      </c>
      <c r="B70" s="165">
        <v>260</v>
      </c>
      <c r="C70" s="165">
        <f t="shared" si="3"/>
        <v>281.42400000000004</v>
      </c>
    </row>
    <row r="71" spans="1:3" ht="33.75" x14ac:dyDescent="0.2">
      <c r="A71" s="78" t="s">
        <v>383</v>
      </c>
      <c r="B71" s="165">
        <v>156</v>
      </c>
      <c r="C71" s="165">
        <f t="shared" si="3"/>
        <v>168.8544</v>
      </c>
    </row>
    <row r="72" spans="1:3" ht="45" x14ac:dyDescent="0.2">
      <c r="A72" s="78" t="s">
        <v>384</v>
      </c>
      <c r="B72" s="165">
        <v>1040</v>
      </c>
      <c r="C72" s="165">
        <f t="shared" si="3"/>
        <v>1125.6960000000001</v>
      </c>
    </row>
    <row r="73" spans="1:3" ht="33.75" x14ac:dyDescent="0.2">
      <c r="A73" s="78" t="s">
        <v>385</v>
      </c>
      <c r="B73" s="165">
        <v>520</v>
      </c>
      <c r="C73" s="165">
        <f t="shared" si="3"/>
        <v>562.84800000000007</v>
      </c>
    </row>
    <row r="74" spans="1:3" ht="33.75" x14ac:dyDescent="0.2">
      <c r="A74" s="78" t="s">
        <v>386</v>
      </c>
      <c r="B74" s="165">
        <v>208</v>
      </c>
      <c r="C74" s="165">
        <f t="shared" si="3"/>
        <v>225.13920000000002</v>
      </c>
    </row>
    <row r="75" spans="1:3" ht="22.5" x14ac:dyDescent="0.2">
      <c r="A75" s="78" t="s">
        <v>387</v>
      </c>
      <c r="B75" s="165">
        <v>6240</v>
      </c>
      <c r="C75" s="165">
        <f t="shared" si="3"/>
        <v>6754.1760000000004</v>
      </c>
    </row>
    <row r="76" spans="1:3" ht="22.5" x14ac:dyDescent="0.2">
      <c r="A76" s="78" t="s">
        <v>388</v>
      </c>
      <c r="B76" s="165">
        <v>5200</v>
      </c>
      <c r="C76" s="165">
        <f t="shared" si="3"/>
        <v>5628.4800000000005</v>
      </c>
    </row>
    <row r="77" spans="1:3" ht="22.5" x14ac:dyDescent="0.2">
      <c r="A77" s="78" t="s">
        <v>389</v>
      </c>
      <c r="B77" s="165">
        <v>4160</v>
      </c>
      <c r="C77" s="165">
        <f t="shared" si="3"/>
        <v>4502.7840000000006</v>
      </c>
    </row>
    <row r="78" spans="1:3" ht="22.5" x14ac:dyDescent="0.2">
      <c r="A78" s="78" t="s">
        <v>390</v>
      </c>
      <c r="B78" s="165">
        <v>2080</v>
      </c>
      <c r="C78" s="165">
        <f t="shared" si="3"/>
        <v>2251.3920000000003</v>
      </c>
    </row>
    <row r="79" spans="1:3" ht="22.5" x14ac:dyDescent="0.2">
      <c r="A79" s="78" t="s">
        <v>391</v>
      </c>
      <c r="B79" s="165">
        <v>520</v>
      </c>
      <c r="C79" s="165">
        <f t="shared" si="3"/>
        <v>562.84800000000007</v>
      </c>
    </row>
    <row r="80" spans="1:3" x14ac:dyDescent="0.2">
      <c r="A80" s="78" t="s">
        <v>392</v>
      </c>
      <c r="B80" s="165">
        <v>260</v>
      </c>
      <c r="C80" s="165">
        <f t="shared" si="3"/>
        <v>281.42400000000004</v>
      </c>
    </row>
    <row r="81" spans="1:3" x14ac:dyDescent="0.2">
      <c r="A81" s="78" t="s">
        <v>393</v>
      </c>
      <c r="B81" s="165">
        <v>104</v>
      </c>
      <c r="C81" s="165">
        <f t="shared" si="3"/>
        <v>112.56960000000001</v>
      </c>
    </row>
    <row r="82" spans="1:3" x14ac:dyDescent="0.2">
      <c r="A82" s="78" t="s">
        <v>394</v>
      </c>
      <c r="B82" s="165">
        <v>1040</v>
      </c>
      <c r="C82" s="165">
        <f t="shared" si="3"/>
        <v>1125.6960000000001</v>
      </c>
    </row>
    <row r="83" spans="1:3" x14ac:dyDescent="0.2">
      <c r="A83" s="78" t="s">
        <v>395</v>
      </c>
      <c r="B83" s="165">
        <v>10000</v>
      </c>
      <c r="C83" s="165">
        <f t="shared" si="3"/>
        <v>10824</v>
      </c>
    </row>
    <row r="84" spans="1:3" x14ac:dyDescent="0.2">
      <c r="A84" s="78" t="s">
        <v>396</v>
      </c>
      <c r="B84" s="165">
        <v>5000</v>
      </c>
      <c r="C84" s="165">
        <f t="shared" si="3"/>
        <v>5412</v>
      </c>
    </row>
    <row r="85" spans="1:3" x14ac:dyDescent="0.2">
      <c r="A85" s="78" t="s">
        <v>397</v>
      </c>
      <c r="B85" s="165">
        <v>5000</v>
      </c>
      <c r="C85" s="165">
        <f t="shared" si="3"/>
        <v>5412</v>
      </c>
    </row>
    <row r="86" spans="1:3" x14ac:dyDescent="0.2">
      <c r="A86" s="78" t="s">
        <v>398</v>
      </c>
      <c r="B86" s="165">
        <v>2500</v>
      </c>
      <c r="C86" s="165">
        <f t="shared" si="3"/>
        <v>2706</v>
      </c>
    </row>
    <row r="87" spans="1:3" x14ac:dyDescent="0.2">
      <c r="A87" s="78" t="s">
        <v>399</v>
      </c>
      <c r="B87" s="165">
        <v>2500</v>
      </c>
      <c r="C87" s="165">
        <f t="shared" si="3"/>
        <v>2706</v>
      </c>
    </row>
    <row r="88" spans="1:3" x14ac:dyDescent="0.2">
      <c r="A88" s="78"/>
      <c r="B88" s="165"/>
      <c r="C88" s="165">
        <f t="shared" si="3"/>
        <v>0</v>
      </c>
    </row>
    <row r="89" spans="1:3" x14ac:dyDescent="0.2">
      <c r="A89" s="78" t="s">
        <v>400</v>
      </c>
      <c r="B89" s="165">
        <v>2080</v>
      </c>
      <c r="C89" s="165">
        <f t="shared" si="3"/>
        <v>2251.3920000000003</v>
      </c>
    </row>
    <row r="90" spans="1:3" x14ac:dyDescent="0.2">
      <c r="A90" s="78"/>
      <c r="B90" s="165"/>
      <c r="C90" s="165">
        <f t="shared" si="3"/>
        <v>0</v>
      </c>
    </row>
    <row r="91" spans="1:3" x14ac:dyDescent="0.2">
      <c r="A91" s="78" t="s">
        <v>401</v>
      </c>
      <c r="B91" s="165">
        <v>416</v>
      </c>
      <c r="C91" s="165">
        <f t="shared" si="3"/>
        <v>450.27840000000003</v>
      </c>
    </row>
    <row r="92" spans="1:3" x14ac:dyDescent="0.2">
      <c r="A92" s="78" t="s">
        <v>402</v>
      </c>
      <c r="B92" s="165">
        <v>2600</v>
      </c>
      <c r="C92" s="165">
        <f t="shared" si="3"/>
        <v>2814.2400000000002</v>
      </c>
    </row>
    <row r="93" spans="1:3" x14ac:dyDescent="0.2">
      <c r="B93" s="165"/>
      <c r="C93" s="165">
        <f t="shared" si="3"/>
        <v>0</v>
      </c>
    </row>
    <row r="94" spans="1:3" x14ac:dyDescent="0.2">
      <c r="A94" s="96" t="s">
        <v>403</v>
      </c>
      <c r="B94" s="165">
        <v>25000</v>
      </c>
      <c r="C94" s="165">
        <f t="shared" si="3"/>
        <v>27060</v>
      </c>
    </row>
    <row r="95" spans="1:3" x14ac:dyDescent="0.2">
      <c r="A95" s="96" t="s">
        <v>404</v>
      </c>
      <c r="B95" s="165">
        <v>50000</v>
      </c>
      <c r="C95" s="165">
        <f t="shared" si="3"/>
        <v>54120</v>
      </c>
    </row>
    <row r="96" spans="1:3" x14ac:dyDescent="0.2">
      <c r="A96" s="96" t="s">
        <v>405</v>
      </c>
      <c r="B96" s="165">
        <v>75000</v>
      </c>
      <c r="C96" s="165">
        <f t="shared" si="3"/>
        <v>81180</v>
      </c>
    </row>
    <row r="97" spans="1:3" ht="22.5" x14ac:dyDescent="0.2">
      <c r="A97" s="96" t="s">
        <v>406</v>
      </c>
      <c r="B97" s="165">
        <v>5000</v>
      </c>
      <c r="C97" s="165">
        <f t="shared" si="3"/>
        <v>5412</v>
      </c>
    </row>
    <row r="98" spans="1:3" x14ac:dyDescent="0.2">
      <c r="A98" s="96" t="s">
        <v>407</v>
      </c>
      <c r="B98" s="165">
        <v>2000</v>
      </c>
      <c r="C98" s="165">
        <f t="shared" si="3"/>
        <v>2164.8000000000002</v>
      </c>
    </row>
    <row r="99" spans="1:3" x14ac:dyDescent="0.2">
      <c r="A99" s="96" t="s">
        <v>408</v>
      </c>
      <c r="B99" s="165">
        <v>26000</v>
      </c>
      <c r="C99" s="165">
        <f t="shared" si="3"/>
        <v>28142.400000000001</v>
      </c>
    </row>
    <row r="100" spans="1:3" ht="22.5" x14ac:dyDescent="0.2">
      <c r="A100" s="78" t="s">
        <v>143</v>
      </c>
      <c r="B100" s="165">
        <v>10400</v>
      </c>
      <c r="C100" s="165">
        <f t="shared" si="3"/>
        <v>11256.960000000001</v>
      </c>
    </row>
    <row r="101" spans="1:3" ht="33.75" x14ac:dyDescent="0.2">
      <c r="A101" s="78" t="s">
        <v>409</v>
      </c>
      <c r="B101" s="165">
        <v>31200</v>
      </c>
      <c r="C101" s="165">
        <f t="shared" si="3"/>
        <v>33770.879999999997</v>
      </c>
    </row>
    <row r="102" spans="1:3" ht="33.75" x14ac:dyDescent="0.2">
      <c r="A102" s="78" t="s">
        <v>410</v>
      </c>
      <c r="B102" s="165">
        <v>15600</v>
      </c>
      <c r="C102" s="165">
        <f t="shared" si="3"/>
        <v>16885.439999999999</v>
      </c>
    </row>
    <row r="103" spans="1:3" ht="22.5" x14ac:dyDescent="0.2">
      <c r="A103" s="78" t="s">
        <v>320</v>
      </c>
      <c r="B103" s="165">
        <v>10400</v>
      </c>
      <c r="C103" s="165">
        <f t="shared" si="3"/>
        <v>11256.960000000001</v>
      </c>
    </row>
    <row r="104" spans="1:3" x14ac:dyDescent="0.2">
      <c r="A104" s="6" t="s">
        <v>83</v>
      </c>
      <c r="B104" s="165">
        <v>10400</v>
      </c>
      <c r="C104" s="165">
        <f t="shared" si="3"/>
        <v>11256.960000000001</v>
      </c>
    </row>
    <row r="105" spans="1:3" x14ac:dyDescent="0.2">
      <c r="A105" s="6" t="s">
        <v>334</v>
      </c>
      <c r="B105" s="165">
        <v>2000</v>
      </c>
      <c r="C105" s="165">
        <f t="shared" si="3"/>
        <v>2164.8000000000002</v>
      </c>
    </row>
    <row r="106" spans="1:3" x14ac:dyDescent="0.2">
      <c r="A106" s="166" t="s">
        <v>411</v>
      </c>
      <c r="B106" s="165">
        <v>260</v>
      </c>
      <c r="C106" s="165">
        <f t="shared" si="3"/>
        <v>281.42400000000004</v>
      </c>
    </row>
    <row r="107" spans="1:3" x14ac:dyDescent="0.2">
      <c r="A107" s="166" t="s">
        <v>412</v>
      </c>
      <c r="B107" s="165">
        <v>3640</v>
      </c>
      <c r="C107" s="165">
        <f t="shared" si="3"/>
        <v>3939.9360000000001</v>
      </c>
    </row>
    <row r="108" spans="1:3" x14ac:dyDescent="0.2">
      <c r="A108" s="166" t="s">
        <v>413</v>
      </c>
      <c r="B108" s="165">
        <v>2080</v>
      </c>
      <c r="C108" s="165">
        <f t="shared" si="3"/>
        <v>2251.3920000000003</v>
      </c>
    </row>
    <row r="109" spans="1:3" x14ac:dyDescent="0.2">
      <c r="A109" s="166" t="s">
        <v>414</v>
      </c>
      <c r="B109" s="165">
        <v>3640</v>
      </c>
      <c r="C109" s="165">
        <f t="shared" si="3"/>
        <v>3939.9360000000001</v>
      </c>
    </row>
    <row r="110" spans="1:3" x14ac:dyDescent="0.2">
      <c r="A110" s="166" t="s">
        <v>415</v>
      </c>
      <c r="B110" s="165">
        <v>2080</v>
      </c>
      <c r="C110" s="165">
        <f t="shared" si="3"/>
        <v>2251.3920000000003</v>
      </c>
    </row>
    <row r="111" spans="1:3" x14ac:dyDescent="0.2">
      <c r="A111" s="166" t="s">
        <v>416</v>
      </c>
      <c r="B111" s="165">
        <v>520</v>
      </c>
      <c r="C111" s="165">
        <f t="shared" si="3"/>
        <v>562.84800000000007</v>
      </c>
    </row>
    <row r="112" spans="1:3" x14ac:dyDescent="0.2">
      <c r="A112" s="166" t="s">
        <v>417</v>
      </c>
      <c r="B112" s="165">
        <v>2080</v>
      </c>
      <c r="C112" s="165">
        <f t="shared" si="3"/>
        <v>2251.3920000000003</v>
      </c>
    </row>
    <row r="113" spans="1:3" x14ac:dyDescent="0.2">
      <c r="A113" s="166" t="s">
        <v>418</v>
      </c>
      <c r="B113" s="165">
        <v>208</v>
      </c>
      <c r="C113" s="165">
        <f t="shared" si="3"/>
        <v>225.13920000000002</v>
      </c>
    </row>
  </sheetData>
  <sheetProtection sheet="1" objects="1" scenarios="1"/>
  <mergeCells count="35">
    <mergeCell ref="A33:B33"/>
    <mergeCell ref="A37:B37"/>
    <mergeCell ref="A32:B32"/>
    <mergeCell ref="A39:B39"/>
    <mergeCell ref="A38:B38"/>
    <mergeCell ref="A42:B42"/>
    <mergeCell ref="A43:B43"/>
    <mergeCell ref="A56:B56"/>
    <mergeCell ref="A40:B40"/>
    <mergeCell ref="A34:B34"/>
    <mergeCell ref="A35:B35"/>
    <mergeCell ref="A36:B36"/>
    <mergeCell ref="A44:B44"/>
    <mergeCell ref="A51:B51"/>
    <mergeCell ref="A58:B58"/>
    <mergeCell ref="A53:B53"/>
    <mergeCell ref="C43:D43"/>
    <mergeCell ref="A45:B45"/>
    <mergeCell ref="A46:B46"/>
    <mergeCell ref="E43:F43"/>
    <mergeCell ref="A62:B62"/>
    <mergeCell ref="E28:F28"/>
    <mergeCell ref="E29:F29"/>
    <mergeCell ref="E30:F30"/>
    <mergeCell ref="A59:B59"/>
    <mergeCell ref="A60:B60"/>
    <mergeCell ref="A61:B61"/>
    <mergeCell ref="A47:B47"/>
    <mergeCell ref="A48:B48"/>
    <mergeCell ref="A49:B49"/>
    <mergeCell ref="A50:B50"/>
    <mergeCell ref="A52:B52"/>
    <mergeCell ref="A54:B54"/>
    <mergeCell ref="A55:B55"/>
    <mergeCell ref="A57:B57"/>
  </mergeCells>
  <printOptions gridLines="1"/>
  <pageMargins left="0.70866141732283472" right="0.70866141732283472" top="0.74803149606299213" bottom="0.74803149606299213" header="0.31496062992125984" footer="0.31496062992125984"/>
  <pageSetup paperSize="9" scale="76" fitToHeight="2" orientation="landscape" r:id="rId1"/>
  <headerFooter>
    <oddFooter>&amp;L&amp;"Arial,Cursief"&amp;8&amp;F
Copyright © 2023 by KCE Trials. All rights reserved.&amp;C&amp;"Arial,Cursief"&amp;8&amp;P/&amp;N&amp;R&amp;"Arial,Cursief"&amp;8&amp;A
Budget tool v6.2</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6"/>
  <sheetViews>
    <sheetView zoomScale="110" zoomScaleNormal="110" zoomScaleSheetLayoutView="100" workbookViewId="0">
      <selection activeCell="B1" sqref="B1"/>
    </sheetView>
  </sheetViews>
  <sheetFormatPr defaultColWidth="9.140625" defaultRowHeight="11.25" outlineLevelRow="1" x14ac:dyDescent="0.2"/>
  <cols>
    <col min="1" max="1" width="3.5703125" style="3" customWidth="1"/>
    <col min="2" max="2" width="51.42578125" style="1" bestFit="1" customWidth="1"/>
    <col min="3" max="3" width="6.85546875" style="22" customWidth="1"/>
    <col min="4" max="4" width="9.42578125" style="27" customWidth="1"/>
    <col min="5" max="5" width="10.85546875" style="27" bestFit="1" customWidth="1"/>
    <col min="6" max="6" width="32.140625" style="42" hidden="1" customWidth="1"/>
    <col min="7" max="7" width="30" style="42" bestFit="1" customWidth="1"/>
    <col min="8" max="8" width="14.5703125" style="42" customWidth="1"/>
    <col min="9" max="9" width="14.85546875" style="42" customWidth="1"/>
    <col min="10" max="10" width="15" style="42" customWidth="1"/>
    <col min="11" max="11" width="56.5703125" style="75" customWidth="1"/>
    <col min="12" max="12" width="45.42578125" style="75" customWidth="1"/>
    <col min="13" max="16384" width="9.140625" style="1"/>
  </cols>
  <sheetData>
    <row r="1" spans="1:12" s="2" customFormat="1" ht="26.25" thickBot="1" x14ac:dyDescent="0.25">
      <c r="A1" s="7"/>
      <c r="B1" s="5"/>
      <c r="C1" s="17" t="s">
        <v>0</v>
      </c>
      <c r="D1" s="23" t="s">
        <v>4</v>
      </c>
      <c r="E1" s="23" t="s">
        <v>29</v>
      </c>
      <c r="F1" s="41" t="s">
        <v>368</v>
      </c>
      <c r="G1" s="41" t="s">
        <v>445</v>
      </c>
      <c r="H1" s="41" t="s">
        <v>74</v>
      </c>
      <c r="I1" s="41" t="s">
        <v>116</v>
      </c>
      <c r="J1" s="41" t="s">
        <v>117</v>
      </c>
      <c r="K1" s="23" t="s">
        <v>107</v>
      </c>
      <c r="L1" s="23" t="s">
        <v>249</v>
      </c>
    </row>
    <row r="2" spans="1:12" ht="20.25" customHeight="1" thickBot="1" x14ac:dyDescent="0.35">
      <c r="A2" s="9" t="s">
        <v>23</v>
      </c>
      <c r="B2" s="4"/>
      <c r="C2" s="16" t="str">
        <f>'Study Parameters'!B7</f>
        <v>KCE number</v>
      </c>
      <c r="D2" s="16"/>
      <c r="E2" s="16"/>
      <c r="F2" s="40"/>
      <c r="G2" s="40"/>
      <c r="H2" s="40"/>
      <c r="I2" s="40"/>
      <c r="J2" s="40"/>
      <c r="K2" s="71"/>
      <c r="L2" s="71" t="str">
        <f>'Study Parameters'!D1</f>
        <v>DD/MM/YYYY</v>
      </c>
    </row>
    <row r="3" spans="1:12" ht="15.75" x14ac:dyDescent="0.25">
      <c r="A3" s="95">
        <v>1</v>
      </c>
      <c r="B3" s="95" t="s">
        <v>5</v>
      </c>
      <c r="C3" s="18"/>
      <c r="D3" s="24"/>
      <c r="E3" s="24"/>
      <c r="F3" s="39"/>
      <c r="G3" s="39"/>
      <c r="H3" s="43"/>
      <c r="I3" s="43"/>
      <c r="J3" s="43"/>
      <c r="K3" s="72"/>
      <c r="L3" s="72"/>
    </row>
    <row r="4" spans="1:12" s="2" customFormat="1" ht="112.5" outlineLevel="1" x14ac:dyDescent="0.2">
      <c r="A4" s="7" t="s">
        <v>76</v>
      </c>
      <c r="B4" s="79" t="s">
        <v>352</v>
      </c>
      <c r="C4" s="80"/>
      <c r="D4" s="81"/>
      <c r="E4" s="81" t="s">
        <v>168</v>
      </c>
      <c r="F4" s="134">
        <f>IF('Study Parameters'!C41=4,60000,IF('Study Parameters'!C41=3,50000,IF('Study Parameters'!C41=1,25000,40000)))</f>
        <v>40000</v>
      </c>
      <c r="G4" s="134">
        <f>F4*'Budget Parameters'!$C$25</f>
        <v>43296</v>
      </c>
      <c r="H4" s="131">
        <f>G4</f>
        <v>43296</v>
      </c>
      <c r="I4" s="134">
        <f>H4</f>
        <v>43296</v>
      </c>
      <c r="J4" s="131">
        <f>I4+(I4*'Budget Parameters'!$C$23)</f>
        <v>50656.32</v>
      </c>
      <c r="K4" s="68" t="s">
        <v>422</v>
      </c>
      <c r="L4" s="88"/>
    </row>
    <row r="5" spans="1:12" s="2" customFormat="1" ht="12.75" outlineLevel="1" x14ac:dyDescent="0.2">
      <c r="A5" s="7" t="s">
        <v>77</v>
      </c>
      <c r="B5" s="10" t="s">
        <v>364</v>
      </c>
      <c r="C5" s="19"/>
      <c r="D5" s="70">
        <f>'Study Parameters'!C19*0.5</f>
        <v>0</v>
      </c>
      <c r="E5" s="44" t="s">
        <v>168</v>
      </c>
      <c r="F5" s="134">
        <f>IF('Study Parameters'!C20="yes",780,IF('Study Parameters'!C21="yes",1040,780))</f>
        <v>780</v>
      </c>
      <c r="G5" s="134">
        <f>F5*'Budget Parameters'!$C$25</f>
        <v>844.27200000000005</v>
      </c>
      <c r="H5" s="134">
        <f>G5*D5</f>
        <v>0</v>
      </c>
      <c r="I5" s="134">
        <f>H5</f>
        <v>0</v>
      </c>
      <c r="J5" s="134">
        <f>I5+(I5*'Budget Parameters'!$C$23)</f>
        <v>0</v>
      </c>
      <c r="K5" s="68" t="s">
        <v>421</v>
      </c>
      <c r="L5" s="68"/>
    </row>
    <row r="6" spans="1:12" s="2" customFormat="1" ht="12.75" outlineLevel="1" x14ac:dyDescent="0.2">
      <c r="A6" s="7" t="s">
        <v>78</v>
      </c>
      <c r="B6" s="10" t="s">
        <v>363</v>
      </c>
      <c r="C6" s="19"/>
      <c r="D6" s="70">
        <f>'Study Parameters'!C19*0.5</f>
        <v>0</v>
      </c>
      <c r="E6" s="44" t="s">
        <v>168</v>
      </c>
      <c r="F6" s="134">
        <f>IF('Study Parameters'!C20="yes",156,IF('Study Parameters'!C21="yes",260,156))</f>
        <v>156</v>
      </c>
      <c r="G6" s="134">
        <f>F6*'Budget Parameters'!$C$25</f>
        <v>168.8544</v>
      </c>
      <c r="H6" s="134">
        <f t="shared" ref="H6:H7" si="0">G6*D6</f>
        <v>0</v>
      </c>
      <c r="I6" s="134">
        <f t="shared" ref="I6:I8" si="1">H6</f>
        <v>0</v>
      </c>
      <c r="J6" s="134">
        <f>I6+(I6*'Budget Parameters'!$C$23)</f>
        <v>0</v>
      </c>
      <c r="K6" s="68" t="s">
        <v>421</v>
      </c>
      <c r="L6" s="73"/>
    </row>
    <row r="7" spans="1:12" s="2" customFormat="1" ht="38.25" outlineLevel="1" x14ac:dyDescent="0.2">
      <c r="A7" s="7" t="s">
        <v>183</v>
      </c>
      <c r="B7" s="6" t="s">
        <v>108</v>
      </c>
      <c r="C7" s="19"/>
      <c r="D7" s="70">
        <f>('Study Parameters'!C19-1)</f>
        <v>-1</v>
      </c>
      <c r="E7" s="44" t="s">
        <v>168</v>
      </c>
      <c r="F7" s="134">
        <f>IF('Study Parameters'!C20="yes",208,IF('Study Parameters'!C21="yes",1040,520))</f>
        <v>520</v>
      </c>
      <c r="G7" s="134">
        <f>F7*'Budget Parameters'!$C$25</f>
        <v>562.84800000000007</v>
      </c>
      <c r="H7" s="134">
        <f t="shared" si="0"/>
        <v>-562.84800000000007</v>
      </c>
      <c r="I7" s="134">
        <f t="shared" si="1"/>
        <v>-562.84800000000007</v>
      </c>
      <c r="J7" s="134">
        <f>I7+(I7*'Budget Parameters'!$C$23)</f>
        <v>-658.53216000000009</v>
      </c>
      <c r="K7" s="68" t="s">
        <v>432</v>
      </c>
      <c r="L7" s="68"/>
    </row>
    <row r="8" spans="1:12" ht="12.75" outlineLevel="1" x14ac:dyDescent="0.2">
      <c r="A8" s="7" t="s">
        <v>285</v>
      </c>
      <c r="B8" s="1" t="s">
        <v>317</v>
      </c>
      <c r="C8" s="19"/>
      <c r="D8" s="70">
        <v>1</v>
      </c>
      <c r="E8" s="44" t="s">
        <v>168</v>
      </c>
      <c r="F8" s="134">
        <f>IF('Study Parameters'!C41&gt;1,(3000+(200*'Study Parameters'!D32)),0)</f>
        <v>3000</v>
      </c>
      <c r="G8" s="134">
        <f>F8*'Budget Parameters'!$C$25</f>
        <v>3247.2000000000003</v>
      </c>
      <c r="H8" s="134">
        <f>G8</f>
        <v>3247.2000000000003</v>
      </c>
      <c r="I8" s="134">
        <f t="shared" si="1"/>
        <v>3247.2000000000003</v>
      </c>
      <c r="J8" s="134">
        <f>I8+(I8*'Budget Parameters'!$C$23)</f>
        <v>3799.2240000000002</v>
      </c>
      <c r="K8" s="68" t="s">
        <v>318</v>
      </c>
    </row>
    <row r="9" spans="1:12" ht="13.7" customHeight="1" x14ac:dyDescent="0.2">
      <c r="A9" s="11" t="s">
        <v>2</v>
      </c>
      <c r="B9" s="12"/>
      <c r="C9" s="20"/>
      <c r="D9" s="25"/>
      <c r="E9" s="25"/>
      <c r="F9" s="135"/>
      <c r="G9" s="135"/>
      <c r="H9" s="136">
        <f>SUBTOTAL(9,H4:H8)</f>
        <v>45980.351999999999</v>
      </c>
      <c r="I9" s="136">
        <f>SUBTOTAL(9,I4:I8)</f>
        <v>45980.351999999999</v>
      </c>
      <c r="J9" s="136">
        <f>SUBTOTAL(9,J4:J8)</f>
        <v>53797.011839999999</v>
      </c>
      <c r="K9" s="74"/>
      <c r="L9" s="74"/>
    </row>
    <row r="10" spans="1:12" ht="15.75" x14ac:dyDescent="0.25">
      <c r="A10" s="95">
        <v>2</v>
      </c>
      <c r="B10" s="95" t="s">
        <v>79</v>
      </c>
      <c r="C10" s="18"/>
      <c r="D10" s="44"/>
      <c r="E10" s="44"/>
      <c r="F10" s="134"/>
      <c r="G10" s="134"/>
      <c r="H10" s="133"/>
      <c r="I10" s="133"/>
      <c r="J10" s="133"/>
      <c r="K10" s="72"/>
      <c r="L10" s="72"/>
    </row>
    <row r="11" spans="1:12" ht="22.5" outlineLevel="1" x14ac:dyDescent="0.2">
      <c r="A11" s="8" t="s">
        <v>3</v>
      </c>
      <c r="B11" s="78" t="s">
        <v>293</v>
      </c>
      <c r="C11" s="19"/>
      <c r="D11" s="44">
        <v>1</v>
      </c>
      <c r="E11" s="44" t="s">
        <v>168</v>
      </c>
      <c r="F11" s="134">
        <f>IF('Study Parameters'!C22="no",2080,IF('Study Parameters'!C41&gt;3,6240,IF('Study Parameters'!C41&gt;2,5200,4160)))</f>
        <v>4160</v>
      </c>
      <c r="G11" s="134">
        <f>F11*'Budget Parameters'!$C$25</f>
        <v>4502.7840000000006</v>
      </c>
      <c r="H11" s="134">
        <f>D11*G11</f>
        <v>4502.7840000000006</v>
      </c>
      <c r="I11" s="134">
        <f t="shared" ref="I11:I15" si="2">H11</f>
        <v>4502.7840000000006</v>
      </c>
      <c r="J11" s="134">
        <f>I11+(I11*'Budget Parameters'!$C$23)</f>
        <v>5268.2572800000007</v>
      </c>
      <c r="K11" s="68" t="s">
        <v>433</v>
      </c>
      <c r="L11" s="153"/>
    </row>
    <row r="12" spans="1:12" ht="15" outlineLevel="1" x14ac:dyDescent="0.2">
      <c r="A12" s="8" t="s">
        <v>6</v>
      </c>
      <c r="B12" s="6" t="s">
        <v>292</v>
      </c>
      <c r="C12" s="19"/>
      <c r="D12" s="70">
        <f>'Study Parameters'!C19-1</f>
        <v>-1</v>
      </c>
      <c r="E12" s="44" t="s">
        <v>168</v>
      </c>
      <c r="F12" s="134">
        <f>IF('Study Parameters'!C22="yes",260,520)</f>
        <v>520</v>
      </c>
      <c r="G12" s="134">
        <f>F12*'Budget Parameters'!$C$25</f>
        <v>562.84800000000007</v>
      </c>
      <c r="H12" s="134">
        <f t="shared" ref="H12:H14" si="3">D12*G12</f>
        <v>-562.84800000000007</v>
      </c>
      <c r="I12" s="134">
        <f t="shared" si="2"/>
        <v>-562.84800000000007</v>
      </c>
      <c r="J12" s="134">
        <f>I12+(I12*'Budget Parameters'!$C$23)</f>
        <v>-658.53216000000009</v>
      </c>
      <c r="K12" s="68" t="s">
        <v>423</v>
      </c>
      <c r="L12" s="153"/>
    </row>
    <row r="13" spans="1:12" ht="15" outlineLevel="1" x14ac:dyDescent="0.2">
      <c r="A13" s="8" t="s">
        <v>80</v>
      </c>
      <c r="B13" s="6" t="s">
        <v>294</v>
      </c>
      <c r="C13" s="19"/>
      <c r="D13" s="70">
        <f>'Study Parameters'!$D$32</f>
        <v>0</v>
      </c>
      <c r="E13" s="44" t="s">
        <v>168</v>
      </c>
      <c r="F13" s="134">
        <f>IF('Study Parameters'!C22="yes",2080,1040)</f>
        <v>1040</v>
      </c>
      <c r="G13" s="134">
        <f>F13*'Budget Parameters'!$C$25</f>
        <v>1125.6960000000001</v>
      </c>
      <c r="H13" s="134">
        <f t="shared" si="3"/>
        <v>0</v>
      </c>
      <c r="I13" s="134">
        <f t="shared" si="2"/>
        <v>0</v>
      </c>
      <c r="J13" s="134">
        <f>I13+(I13*'Budget Parameters'!$C$23)</f>
        <v>0</v>
      </c>
      <c r="K13" s="68" t="s">
        <v>423</v>
      </c>
      <c r="L13" s="153"/>
    </row>
    <row r="14" spans="1:12" ht="15" outlineLevel="1" x14ac:dyDescent="0.2">
      <c r="A14" s="8" t="s">
        <v>54</v>
      </c>
      <c r="B14" s="6" t="s">
        <v>314</v>
      </c>
      <c r="C14" s="19"/>
      <c r="D14" s="70">
        <f>IF('Study Parameters'!C22="yes",1,0)</f>
        <v>0</v>
      </c>
      <c r="E14" s="44" t="s">
        <v>168</v>
      </c>
      <c r="F14" s="134">
        <f>IF('Study Parameters'!C22="yes",1040,0)</f>
        <v>0</v>
      </c>
      <c r="G14" s="134">
        <f>F14*'Budget Parameters'!$C$25</f>
        <v>0</v>
      </c>
      <c r="H14" s="134">
        <f t="shared" si="3"/>
        <v>0</v>
      </c>
      <c r="I14" s="134">
        <f t="shared" si="2"/>
        <v>0</v>
      </c>
      <c r="J14" s="134">
        <f>I14+(I14*'Budget Parameters'!$C$23)</f>
        <v>0</v>
      </c>
      <c r="K14" s="68"/>
      <c r="L14" s="153"/>
    </row>
    <row r="15" spans="1:12" ht="12.75" outlineLevel="1" x14ac:dyDescent="0.2">
      <c r="A15" s="8" t="s">
        <v>131</v>
      </c>
      <c r="B15" s="6" t="s">
        <v>7</v>
      </c>
      <c r="C15" s="19"/>
      <c r="D15" s="44"/>
      <c r="E15" s="44"/>
      <c r="F15" s="134"/>
      <c r="G15" s="134"/>
      <c r="H15" s="133"/>
      <c r="I15" s="133">
        <f t="shared" si="2"/>
        <v>0</v>
      </c>
      <c r="J15" s="133">
        <f>H15</f>
        <v>0</v>
      </c>
      <c r="K15" s="73"/>
      <c r="L15" s="73"/>
    </row>
    <row r="16" spans="1:12" ht="13.7" customHeight="1" x14ac:dyDescent="0.2">
      <c r="A16" s="11" t="s">
        <v>2</v>
      </c>
      <c r="B16" s="12"/>
      <c r="C16" s="20"/>
      <c r="D16" s="25"/>
      <c r="E16" s="25"/>
      <c r="F16" s="135"/>
      <c r="G16" s="135"/>
      <c r="H16" s="136">
        <f>SUM(H11:H15)</f>
        <v>3939.9360000000006</v>
      </c>
      <c r="I16" s="136">
        <f>SUM(I11:I15)</f>
        <v>3939.9360000000006</v>
      </c>
      <c r="J16" s="136">
        <f>SUM(J11:J15)</f>
        <v>4609.725120000001</v>
      </c>
      <c r="K16" s="74"/>
      <c r="L16" s="74"/>
    </row>
    <row r="17" spans="1:14" ht="15.75" x14ac:dyDescent="0.25">
      <c r="A17" s="95">
        <v>3</v>
      </c>
      <c r="B17" s="95" t="s">
        <v>27</v>
      </c>
      <c r="C17" s="18"/>
      <c r="D17" s="24"/>
      <c r="E17" s="24"/>
      <c r="F17" s="137"/>
      <c r="G17" s="137"/>
      <c r="H17" s="138"/>
      <c r="I17" s="133"/>
      <c r="J17" s="133"/>
      <c r="K17" s="72"/>
      <c r="L17" s="72"/>
    </row>
    <row r="18" spans="1:14" ht="12.75" outlineLevel="1" x14ac:dyDescent="0.2">
      <c r="A18" s="8" t="s">
        <v>332</v>
      </c>
      <c r="B18" s="6" t="s">
        <v>103</v>
      </c>
      <c r="C18" s="19" t="s">
        <v>1</v>
      </c>
      <c r="D18" s="70">
        <f>IF('Study Parameters'!C41&lt;2,16,IF('Study Parameters'!C41&gt;3,48,32))</f>
        <v>32</v>
      </c>
      <c r="E18" s="44" t="s">
        <v>19</v>
      </c>
      <c r="F18" s="134">
        <f>VLOOKUP(E18,'Budget Parameters'!$A$7:$B$18,2,FALSE)</f>
        <v>52</v>
      </c>
      <c r="G18" s="134">
        <f>F18*'Budget Parameters'!$C$25</f>
        <v>56.284800000000004</v>
      </c>
      <c r="H18" s="134">
        <f>D18*G18</f>
        <v>1801.1136000000001</v>
      </c>
      <c r="I18" s="134">
        <f>H18+(H18*'Budget Parameters'!$C$22)</f>
        <v>1981.2249600000002</v>
      </c>
      <c r="J18" s="134">
        <f>I18+(I18*'Budget Parameters'!$C$23)</f>
        <v>2318.0332032000001</v>
      </c>
      <c r="K18" s="68" t="s">
        <v>109</v>
      </c>
      <c r="L18" s="68"/>
    </row>
    <row r="19" spans="1:14" ht="12.75" outlineLevel="1" x14ac:dyDescent="0.2">
      <c r="A19" s="8" t="s">
        <v>111</v>
      </c>
      <c r="B19" s="6" t="s">
        <v>8</v>
      </c>
      <c r="C19" s="19" t="s">
        <v>1</v>
      </c>
      <c r="D19" s="70">
        <f>(IF('Study Parameters'!C41&lt;2,12,IF('Study Parameters'!C20="yes",8,IF('Study Parameters'!C21="yes",20,16))))*'Study Parameters'!C19</f>
        <v>0</v>
      </c>
      <c r="E19" s="44" t="s">
        <v>19</v>
      </c>
      <c r="F19" s="134">
        <f>VLOOKUP(E19,'Budget Parameters'!$A$7:$B$18,2,FALSE)</f>
        <v>52</v>
      </c>
      <c r="G19" s="134">
        <f>F19*'Budget Parameters'!$C$25</f>
        <v>56.284800000000004</v>
      </c>
      <c r="H19" s="134">
        <f t="shared" ref="H19:H23" si="4">D19*G19</f>
        <v>0</v>
      </c>
      <c r="I19" s="134">
        <f>H19+(H19*'Budget Parameters'!$C$22)</f>
        <v>0</v>
      </c>
      <c r="J19" s="134">
        <f>I19+(I19*'Budget Parameters'!$C$23)</f>
        <v>0</v>
      </c>
      <c r="K19" s="68" t="s">
        <v>331</v>
      </c>
      <c r="L19" s="68"/>
    </row>
    <row r="20" spans="1:14" ht="12.75" outlineLevel="1" x14ac:dyDescent="0.2">
      <c r="A20" s="8" t="s">
        <v>112</v>
      </c>
      <c r="B20" s="6" t="s">
        <v>9</v>
      </c>
      <c r="C20" s="19" t="s">
        <v>1</v>
      </c>
      <c r="D20" s="70">
        <f>(IF('Study Parameters'!C41&lt;2,12,IF('Study Parameters'!C20="yes",12,IF('Study Parameters'!C21="yes",20,16))))*'Study Parameters'!C19*'Study Parameters'!D34</f>
        <v>0</v>
      </c>
      <c r="E20" s="44" t="s">
        <v>19</v>
      </c>
      <c r="F20" s="134">
        <f>VLOOKUP(E20,'Budget Parameters'!$A$7:$B$18,2,FALSE)</f>
        <v>52</v>
      </c>
      <c r="G20" s="134">
        <f>F20*'Budget Parameters'!$C$25</f>
        <v>56.284800000000004</v>
      </c>
      <c r="H20" s="134">
        <f t="shared" si="4"/>
        <v>0</v>
      </c>
      <c r="I20" s="134">
        <f>H20+(H20*'Budget Parameters'!$C$22)</f>
        <v>0</v>
      </c>
      <c r="J20" s="134">
        <f>I20+(I20*'Budget Parameters'!$C$23)</f>
        <v>0</v>
      </c>
      <c r="K20" s="68" t="s">
        <v>295</v>
      </c>
      <c r="L20" s="68"/>
    </row>
    <row r="21" spans="1:14" ht="12.75" outlineLevel="1" x14ac:dyDescent="0.2">
      <c r="A21" s="8" t="s">
        <v>36</v>
      </c>
      <c r="B21" s="6" t="s">
        <v>31</v>
      </c>
      <c r="C21" s="19" t="s">
        <v>1</v>
      </c>
      <c r="D21" s="70">
        <f>(IF('Study Parameters'!C41&lt;2,8,IF('Study Parameters'!C20="yes",8,IF('Study Parameters'!C21="yes",16,12))))*'Study Parameters'!C19</f>
        <v>0</v>
      </c>
      <c r="E21" s="44" t="s">
        <v>19</v>
      </c>
      <c r="F21" s="134">
        <f>VLOOKUP(E21,'Budget Parameters'!$A$7:$B$18,2,FALSE)</f>
        <v>52</v>
      </c>
      <c r="G21" s="134">
        <f>F21*'Budget Parameters'!$C$25</f>
        <v>56.284800000000004</v>
      </c>
      <c r="H21" s="134">
        <f t="shared" si="4"/>
        <v>0</v>
      </c>
      <c r="I21" s="134">
        <f>H21+(H21*'Budget Parameters'!$C$22)</f>
        <v>0</v>
      </c>
      <c r="J21" s="134">
        <f>I21+(I21*'Budget Parameters'!$C$23)</f>
        <v>0</v>
      </c>
      <c r="K21" s="68" t="s">
        <v>296</v>
      </c>
      <c r="L21" s="68"/>
      <c r="N21" s="167"/>
    </row>
    <row r="22" spans="1:14" ht="51" outlineLevel="1" x14ac:dyDescent="0.2">
      <c r="A22" s="8" t="s">
        <v>142</v>
      </c>
      <c r="B22" s="6" t="s">
        <v>170</v>
      </c>
      <c r="C22" s="19" t="s">
        <v>1</v>
      </c>
      <c r="D22" s="70">
        <f>(IF('Study Parameters'!C21="yes",4,3)*'Study Parameters'!D35*'Study Parameters'!C19)</f>
        <v>0</v>
      </c>
      <c r="E22" s="44" t="s">
        <v>19</v>
      </c>
      <c r="F22" s="134">
        <f>VLOOKUP(E22,'Budget Parameters'!$A$7:$B$18,2,FALSE)</f>
        <v>52</v>
      </c>
      <c r="G22" s="134">
        <f>F22*'Budget Parameters'!$C$25</f>
        <v>56.284800000000004</v>
      </c>
      <c r="H22" s="134">
        <f t="shared" si="4"/>
        <v>0</v>
      </c>
      <c r="I22" s="134">
        <f>H22+(H22*'Budget Parameters'!$C$22)</f>
        <v>0</v>
      </c>
      <c r="J22" s="134">
        <f>I22+(I22*'Budget Parameters'!$C$23)</f>
        <v>0</v>
      </c>
      <c r="K22" s="68" t="s">
        <v>350</v>
      </c>
      <c r="L22" s="68"/>
      <c r="N22" s="168"/>
    </row>
    <row r="23" spans="1:14" ht="12.75" outlineLevel="1" x14ac:dyDescent="0.2">
      <c r="A23" s="8" t="s">
        <v>37</v>
      </c>
      <c r="B23" s="6" t="s">
        <v>196</v>
      </c>
      <c r="C23" s="19"/>
      <c r="D23" s="70">
        <f>IF('Study Parameters'!C41=1,0,(('Study Parameters'!D34+2)*'Study Parameters'!C19))</f>
        <v>0</v>
      </c>
      <c r="E23" s="44" t="s">
        <v>168</v>
      </c>
      <c r="F23" s="133">
        <v>68</v>
      </c>
      <c r="G23" s="132">
        <f>F23*'Budget Parameters'!$C$25</f>
        <v>73.603200000000001</v>
      </c>
      <c r="H23" s="134">
        <f t="shared" si="4"/>
        <v>0</v>
      </c>
      <c r="I23" s="134">
        <f>H23</f>
        <v>0</v>
      </c>
      <c r="J23" s="134">
        <f>I23</f>
        <v>0</v>
      </c>
      <c r="K23" s="68" t="s">
        <v>255</v>
      </c>
      <c r="L23" s="68"/>
      <c r="N23" s="168"/>
    </row>
    <row r="24" spans="1:14" ht="12.75" x14ac:dyDescent="0.2">
      <c r="A24" s="11" t="s">
        <v>2</v>
      </c>
      <c r="B24" s="12"/>
      <c r="C24" s="20"/>
      <c r="D24" s="25"/>
      <c r="E24" s="25"/>
      <c r="F24" s="135"/>
      <c r="G24" s="135"/>
      <c r="H24" s="136">
        <f>SUM(H18:H23)</f>
        <v>1801.1136000000001</v>
      </c>
      <c r="I24" s="136">
        <f>SUM(I18:I23)</f>
        <v>1981.2249600000002</v>
      </c>
      <c r="J24" s="136">
        <f>SUM(J18:J23)</f>
        <v>2318.0332032000001</v>
      </c>
      <c r="K24" s="74"/>
      <c r="L24" s="74"/>
      <c r="N24" s="168"/>
    </row>
    <row r="25" spans="1:14" ht="15.75" x14ac:dyDescent="0.25">
      <c r="A25" s="95">
        <v>4</v>
      </c>
      <c r="B25" s="95" t="s">
        <v>24</v>
      </c>
      <c r="C25" s="18"/>
      <c r="D25" s="44"/>
      <c r="E25" s="44"/>
      <c r="F25" s="134"/>
      <c r="G25" s="134"/>
      <c r="H25" s="133"/>
      <c r="I25" s="133"/>
      <c r="J25" s="133"/>
      <c r="K25" s="72"/>
      <c r="L25" s="72"/>
      <c r="N25" s="168"/>
    </row>
    <row r="26" spans="1:14" ht="95.45" customHeight="1" outlineLevel="1" x14ac:dyDescent="0.25">
      <c r="A26" s="8" t="s">
        <v>361</v>
      </c>
      <c r="B26" s="156"/>
      <c r="C26" s="18"/>
      <c r="D26" s="44">
        <v>1</v>
      </c>
      <c r="E26" s="44" t="s">
        <v>168</v>
      </c>
      <c r="F26" s="134">
        <f>IF('Study Parameters'!C41=1,0,10000)</f>
        <v>10000</v>
      </c>
      <c r="G26" s="134">
        <f>F26*'Budget Parameters'!$C$25</f>
        <v>10824</v>
      </c>
      <c r="H26" s="133">
        <f>D26*G26</f>
        <v>10824</v>
      </c>
      <c r="I26" s="133">
        <f>H26</f>
        <v>10824</v>
      </c>
      <c r="J26" s="133">
        <f>I26+(I26*'Budget Parameters'!$C$23)</f>
        <v>12664.08</v>
      </c>
      <c r="K26" s="68" t="s">
        <v>434</v>
      </c>
      <c r="L26" s="72"/>
      <c r="N26" s="167"/>
    </row>
    <row r="27" spans="1:14" ht="12.75" x14ac:dyDescent="0.2">
      <c r="A27" s="11" t="s">
        <v>2</v>
      </c>
      <c r="B27" s="12"/>
      <c r="C27" s="20"/>
      <c r="D27" s="25"/>
      <c r="E27" s="25"/>
      <c r="F27" s="136">
        <f>SUM(F26)</f>
        <v>10000</v>
      </c>
      <c r="G27" s="136"/>
      <c r="H27" s="136">
        <f t="shared" ref="H27:J27" si="5">SUM(H26)</f>
        <v>10824</v>
      </c>
      <c r="I27" s="136">
        <f t="shared" si="5"/>
        <v>10824</v>
      </c>
      <c r="J27" s="136">
        <f t="shared" si="5"/>
        <v>12664.08</v>
      </c>
      <c r="K27" s="74"/>
      <c r="L27" s="74"/>
    </row>
    <row r="28" spans="1:14" ht="15.75" x14ac:dyDescent="0.25">
      <c r="A28" s="95">
        <v>5</v>
      </c>
      <c r="B28" s="95" t="s">
        <v>30</v>
      </c>
      <c r="C28" s="18"/>
      <c r="D28" s="24"/>
      <c r="E28" s="24"/>
      <c r="F28" s="137"/>
      <c r="G28" s="137"/>
      <c r="H28" s="138"/>
      <c r="I28" s="133"/>
      <c r="J28" s="133"/>
      <c r="K28" s="73"/>
      <c r="L28" s="73"/>
    </row>
    <row r="29" spans="1:14" ht="12.75" outlineLevel="1" x14ac:dyDescent="0.2">
      <c r="A29" s="8" t="s">
        <v>25</v>
      </c>
      <c r="B29" s="6" t="s">
        <v>105</v>
      </c>
      <c r="C29" s="19"/>
      <c r="D29" s="44">
        <v>1</v>
      </c>
      <c r="E29" s="44" t="s">
        <v>168</v>
      </c>
      <c r="F29" s="134">
        <f>(IF('Study Parameters'!C41=4,1040*3,IF('Study Parameters'!C41=1,1040,1040*2)))</f>
        <v>2080</v>
      </c>
      <c r="G29" s="134">
        <f>F29*'Budget Parameters'!$C$25</f>
        <v>2251.3920000000003</v>
      </c>
      <c r="H29" s="134">
        <f>G29</f>
        <v>2251.3920000000003</v>
      </c>
      <c r="I29" s="134">
        <f>H29</f>
        <v>2251.3920000000003</v>
      </c>
      <c r="J29" s="134">
        <f>I29+(I29*'Budget Parameters'!$C$23)</f>
        <v>2634.1286400000004</v>
      </c>
      <c r="K29" s="68" t="s">
        <v>424</v>
      </c>
      <c r="L29" s="68"/>
    </row>
    <row r="30" spans="1:14" ht="12.75" outlineLevel="1" x14ac:dyDescent="0.2">
      <c r="A30" s="8" t="s">
        <v>32</v>
      </c>
      <c r="B30" s="6" t="s">
        <v>106</v>
      </c>
      <c r="C30" s="19" t="s">
        <v>1</v>
      </c>
      <c r="D30" s="70">
        <f>4*'Study Parameters'!C19</f>
        <v>0</v>
      </c>
      <c r="E30" s="44" t="s">
        <v>61</v>
      </c>
      <c r="F30" s="134">
        <f>VLOOKUP(E30,'Budget Parameters'!$A$7:$B$18,2,FALSE)</f>
        <v>36.4</v>
      </c>
      <c r="G30" s="134">
        <f>F30*'Budget Parameters'!$C$25</f>
        <v>39.399360000000001</v>
      </c>
      <c r="H30" s="134">
        <f>G30*D30</f>
        <v>0</v>
      </c>
      <c r="I30" s="134">
        <f>H30+(H30*'Budget Parameters'!$C$22)</f>
        <v>0</v>
      </c>
      <c r="J30" s="134">
        <f>I30+(I30*'Budget Parameters'!$C$23)</f>
        <v>0</v>
      </c>
      <c r="K30" s="68" t="s">
        <v>137</v>
      </c>
      <c r="L30" s="68"/>
    </row>
    <row r="31" spans="1:14" ht="12.75" outlineLevel="1" x14ac:dyDescent="0.2">
      <c r="A31" s="8" t="s">
        <v>33</v>
      </c>
      <c r="B31" s="6" t="s">
        <v>13</v>
      </c>
      <c r="C31" s="19" t="s">
        <v>1</v>
      </c>
      <c r="D31" s="44"/>
      <c r="E31" s="44" t="s">
        <v>61</v>
      </c>
      <c r="F31" s="134">
        <f>VLOOKUP(E31,'Budget Parameters'!$A$7:$B$18,2,FALSE)</f>
        <v>36.4</v>
      </c>
      <c r="G31" s="134">
        <f>F31*'Budget Parameters'!$C$25</f>
        <v>39.399360000000001</v>
      </c>
      <c r="H31" s="134">
        <f t="shared" ref="H31:H35" si="6">G31*D31</f>
        <v>0</v>
      </c>
      <c r="I31" s="134">
        <f>H31+(H31*'Budget Parameters'!$C$22)</f>
        <v>0</v>
      </c>
      <c r="J31" s="134">
        <f>I31+(I31*'Budget Parameters'!$C$23)</f>
        <v>0</v>
      </c>
      <c r="K31" s="68" t="s">
        <v>136</v>
      </c>
      <c r="L31" s="68"/>
    </row>
    <row r="32" spans="1:14" ht="12.75" outlineLevel="1" x14ac:dyDescent="0.2">
      <c r="A32" s="8" t="s">
        <v>38</v>
      </c>
      <c r="B32" s="6" t="s">
        <v>104</v>
      </c>
      <c r="C32" s="19" t="s">
        <v>1</v>
      </c>
      <c r="D32" s="70">
        <f>(IF('Study Parameters'!C41=4,16,IF('Study Parameters'!C41=1,8,12)))*'Study Parameters'!C19*'Study Parameters'!D32</f>
        <v>0</v>
      </c>
      <c r="E32" s="44" t="s">
        <v>61</v>
      </c>
      <c r="F32" s="134">
        <f>VLOOKUP(E32,'Budget Parameters'!$A$7:$B$18,2,FALSE)</f>
        <v>36.4</v>
      </c>
      <c r="G32" s="134">
        <f>F32*'Budget Parameters'!$C$25</f>
        <v>39.399360000000001</v>
      </c>
      <c r="H32" s="134">
        <f t="shared" si="6"/>
        <v>0</v>
      </c>
      <c r="I32" s="134">
        <f>H32+(H32*'Budget Parameters'!$C$22)</f>
        <v>0</v>
      </c>
      <c r="J32" s="134">
        <f>I32+(I32*'Budget Parameters'!$C$23)</f>
        <v>0</v>
      </c>
      <c r="K32" s="68" t="s">
        <v>297</v>
      </c>
      <c r="L32" s="68"/>
    </row>
    <row r="33" spans="1:12" ht="25.5" outlineLevel="1" x14ac:dyDescent="0.2">
      <c r="A33" s="8" t="s">
        <v>39</v>
      </c>
      <c r="B33" s="6" t="s">
        <v>110</v>
      </c>
      <c r="C33" s="19" t="s">
        <v>250</v>
      </c>
      <c r="D33" s="70">
        <f>2*'Study Parameters'!C19*'Study Parameters'!D32</f>
        <v>0</v>
      </c>
      <c r="E33" s="44" t="s">
        <v>168</v>
      </c>
      <c r="F33" s="134">
        <f>IF('Study Parameters'!C21="yes",156,104)</f>
        <v>104</v>
      </c>
      <c r="G33" s="134">
        <f>F33*'Budget Parameters'!$C$25</f>
        <v>112.56960000000001</v>
      </c>
      <c r="H33" s="134">
        <f t="shared" si="6"/>
        <v>0</v>
      </c>
      <c r="I33" s="134">
        <f>H33</f>
        <v>0</v>
      </c>
      <c r="J33" s="134">
        <f>I33+(I33*'Budget Parameters'!$C$23)</f>
        <v>0</v>
      </c>
      <c r="K33" s="68" t="s">
        <v>257</v>
      </c>
      <c r="L33" s="73"/>
    </row>
    <row r="34" spans="1:12" ht="25.5" outlineLevel="1" x14ac:dyDescent="0.2">
      <c r="A34" s="8" t="s">
        <v>40</v>
      </c>
      <c r="B34" s="6" t="s">
        <v>52</v>
      </c>
      <c r="C34" s="19" t="s">
        <v>1</v>
      </c>
      <c r="D34" s="70">
        <f>2*'Study Parameters'!C19*'Study Parameters'!D32</f>
        <v>0</v>
      </c>
      <c r="E34" s="44" t="s">
        <v>61</v>
      </c>
      <c r="F34" s="134">
        <f>VLOOKUP(E34,'Budget Parameters'!$A$7:$B$18,2,FALSE)</f>
        <v>36.4</v>
      </c>
      <c r="G34" s="134">
        <f>F34*'Budget Parameters'!$C$25</f>
        <v>39.399360000000001</v>
      </c>
      <c r="H34" s="134">
        <f t="shared" si="6"/>
        <v>0</v>
      </c>
      <c r="I34" s="134">
        <f>H34+(H34*'Budget Parameters'!$C$22)</f>
        <v>0</v>
      </c>
      <c r="J34" s="134">
        <f>I34+(I34*'Budget Parameters'!$C$23)</f>
        <v>0</v>
      </c>
      <c r="K34" s="68" t="s">
        <v>193</v>
      </c>
      <c r="L34" s="68"/>
    </row>
    <row r="35" spans="1:12" ht="25.5" outlineLevel="1" x14ac:dyDescent="0.2">
      <c r="A35" s="8" t="s">
        <v>113</v>
      </c>
      <c r="B35" s="6" t="s">
        <v>53</v>
      </c>
      <c r="C35" s="19" t="s">
        <v>191</v>
      </c>
      <c r="D35" s="70">
        <f>IF('Study Parameters'!C22="yes",4+('Study Parameters'!C19/4),(2+('Study Parameters'!C19/4)))</f>
        <v>2</v>
      </c>
      <c r="E35" s="44" t="s">
        <v>168</v>
      </c>
      <c r="F35" s="133">
        <v>260</v>
      </c>
      <c r="G35" s="132">
        <f>F35*'Budget Parameters'!$C$25</f>
        <v>281.42400000000004</v>
      </c>
      <c r="H35" s="134">
        <f t="shared" si="6"/>
        <v>562.84800000000007</v>
      </c>
      <c r="I35" s="134">
        <f>H35</f>
        <v>562.84800000000007</v>
      </c>
      <c r="J35" s="134">
        <f>I35+(I35*'Budget Parameters'!$C$23)</f>
        <v>658.53216000000009</v>
      </c>
      <c r="K35" s="68" t="s">
        <v>425</v>
      </c>
      <c r="L35" s="68"/>
    </row>
    <row r="36" spans="1:12" ht="12.75" x14ac:dyDescent="0.2">
      <c r="A36" s="11" t="s">
        <v>2</v>
      </c>
      <c r="B36" s="12"/>
      <c r="C36" s="20"/>
      <c r="D36" s="25"/>
      <c r="E36" s="25"/>
      <c r="F36" s="135"/>
      <c r="G36" s="135"/>
      <c r="H36" s="136">
        <f>SUM(H29:H35)</f>
        <v>2814.2400000000002</v>
      </c>
      <c r="I36" s="136">
        <f>SUM(I29:I35)</f>
        <v>2814.2400000000002</v>
      </c>
      <c r="J36" s="136">
        <f>SUM(J29:J35)</f>
        <v>3292.6608000000006</v>
      </c>
      <c r="K36" s="74"/>
      <c r="L36" s="74"/>
    </row>
    <row r="37" spans="1:12" ht="15.75" x14ac:dyDescent="0.25">
      <c r="A37" s="95">
        <v>6</v>
      </c>
      <c r="B37" s="95" t="s">
        <v>81</v>
      </c>
      <c r="C37" s="18"/>
      <c r="D37" s="24"/>
      <c r="E37" s="24"/>
      <c r="F37" s="137"/>
      <c r="G37" s="137"/>
      <c r="H37" s="138"/>
      <c r="I37" s="133"/>
      <c r="J37" s="133"/>
      <c r="K37" s="72"/>
      <c r="L37" s="72"/>
    </row>
    <row r="38" spans="1:12" ht="22.5" outlineLevel="1" x14ac:dyDescent="0.2">
      <c r="A38" s="8" t="s">
        <v>34</v>
      </c>
      <c r="B38" s="78" t="s">
        <v>251</v>
      </c>
      <c r="C38" s="19"/>
      <c r="D38" s="70">
        <f>IF('Study Parameters'!D40="yes",2,0)*'Study Parameters'!D32</f>
        <v>0</v>
      </c>
      <c r="E38" s="44" t="s">
        <v>168</v>
      </c>
      <c r="F38" s="133">
        <v>2600</v>
      </c>
      <c r="G38" s="132">
        <f>F38*'Budget Parameters'!$C$25</f>
        <v>2814.2400000000002</v>
      </c>
      <c r="H38" s="134">
        <f>G38*D38</f>
        <v>0</v>
      </c>
      <c r="I38" s="134">
        <f>H38</f>
        <v>0</v>
      </c>
      <c r="J38" s="134">
        <f>I38+(I38*'Budget Parameters'!$C$23)</f>
        <v>0</v>
      </c>
      <c r="K38" s="68" t="s">
        <v>298</v>
      </c>
      <c r="L38" s="68"/>
    </row>
    <row r="39" spans="1:12" ht="12.75" x14ac:dyDescent="0.2">
      <c r="A39" s="11" t="s">
        <v>2</v>
      </c>
      <c r="B39" s="12"/>
      <c r="C39" s="20"/>
      <c r="D39" s="25"/>
      <c r="E39" s="25"/>
      <c r="F39" s="135"/>
      <c r="G39" s="135"/>
      <c r="H39" s="136">
        <f>SUM(H38:H38)</f>
        <v>0</v>
      </c>
      <c r="I39" s="136">
        <f>SUM(I38:I38)</f>
        <v>0</v>
      </c>
      <c r="J39" s="136">
        <f>SUM(J38:J38)</f>
        <v>0</v>
      </c>
      <c r="K39" s="74"/>
      <c r="L39" s="74"/>
    </row>
    <row r="40" spans="1:12" ht="15.75" x14ac:dyDescent="0.25">
      <c r="A40" s="95">
        <v>7</v>
      </c>
      <c r="B40" s="157" t="s">
        <v>26</v>
      </c>
      <c r="C40" s="18"/>
      <c r="D40" s="24"/>
      <c r="E40" s="24"/>
      <c r="F40" s="137"/>
      <c r="G40" s="137"/>
      <c r="H40" s="138"/>
      <c r="I40" s="133"/>
      <c r="J40" s="133"/>
      <c r="K40" s="72"/>
      <c r="L40" s="72"/>
    </row>
    <row r="41" spans="1:12" ht="90" outlineLevel="1" x14ac:dyDescent="0.2">
      <c r="A41" s="8" t="s">
        <v>46</v>
      </c>
      <c r="B41" s="77" t="s">
        <v>281</v>
      </c>
      <c r="C41" s="19"/>
      <c r="E41" s="44" t="s">
        <v>168</v>
      </c>
      <c r="F41" s="134">
        <f>(IF('Study Parameters'!C41=4,75000,IF('Study Parameters'!C41=1,25000,IF('Study Parameters'!C22="yes",75000,50000))))</f>
        <v>50000</v>
      </c>
      <c r="G41" s="134">
        <f>F41*'Budget Parameters'!$C$25</f>
        <v>54120</v>
      </c>
      <c r="H41" s="134">
        <f>G41</f>
        <v>54120</v>
      </c>
      <c r="I41" s="134">
        <f>H41</f>
        <v>54120</v>
      </c>
      <c r="J41" s="134">
        <f>I41+(I41*'Budget Parameters'!$C$23)</f>
        <v>63320.4</v>
      </c>
      <c r="K41" s="68" t="s">
        <v>426</v>
      </c>
      <c r="L41" s="68"/>
    </row>
    <row r="42" spans="1:12" s="124" customFormat="1" ht="38.25" outlineLevel="1" x14ac:dyDescent="0.2">
      <c r="A42" s="8" t="s">
        <v>179</v>
      </c>
      <c r="B42" s="77" t="s">
        <v>302</v>
      </c>
      <c r="C42" s="121"/>
      <c r="D42" s="44"/>
      <c r="E42" s="44" t="s">
        <v>168</v>
      </c>
      <c r="F42" s="133">
        <v>5000</v>
      </c>
      <c r="G42" s="132">
        <f>F42*'Budget Parameters'!$C$25</f>
        <v>5412</v>
      </c>
      <c r="H42" s="134">
        <f>G42*D42</f>
        <v>0</v>
      </c>
      <c r="I42" s="134">
        <f>H42</f>
        <v>0</v>
      </c>
      <c r="J42" s="134">
        <f>I42+(I42*'Budget Parameters'!$C$23)</f>
        <v>0</v>
      </c>
      <c r="K42" s="68" t="s">
        <v>303</v>
      </c>
      <c r="L42" s="73"/>
    </row>
    <row r="43" spans="1:12" s="124" customFormat="1" ht="25.5" outlineLevel="1" x14ac:dyDescent="0.2">
      <c r="A43" s="8" t="s">
        <v>276</v>
      </c>
      <c r="B43" s="77" t="s">
        <v>277</v>
      </c>
      <c r="C43" s="121"/>
      <c r="D43" s="70">
        <f>'Study Parameters'!D32*0</f>
        <v>0</v>
      </c>
      <c r="E43" s="44" t="s">
        <v>168</v>
      </c>
      <c r="F43" s="133">
        <v>2000</v>
      </c>
      <c r="G43" s="132">
        <f>F43*'Budget Parameters'!$C$25</f>
        <v>2164.8000000000002</v>
      </c>
      <c r="H43" s="134">
        <f>G43*D43</f>
        <v>0</v>
      </c>
      <c r="I43" s="134">
        <f>H43</f>
        <v>0</v>
      </c>
      <c r="J43" s="134">
        <f>I43+(I43*'Budget Parameters'!$C$23)</f>
        <v>0</v>
      </c>
      <c r="K43" s="68" t="s">
        <v>427</v>
      </c>
      <c r="L43" s="73"/>
    </row>
    <row r="44" spans="1:12" ht="90" outlineLevel="1" x14ac:dyDescent="0.2">
      <c r="A44" s="8" t="s">
        <v>278</v>
      </c>
      <c r="B44" s="77" t="s">
        <v>180</v>
      </c>
      <c r="C44" s="80" t="s">
        <v>1</v>
      </c>
      <c r="D44" s="142">
        <f>2*'Study Parameters'!C14</f>
        <v>0</v>
      </c>
      <c r="E44" s="44" t="s">
        <v>100</v>
      </c>
      <c r="F44" s="134">
        <f>VLOOKUP(E44,'Budget Parameters'!$A$7:$B$18,2,FALSE)</f>
        <v>52</v>
      </c>
      <c r="G44" s="134">
        <f>F44*'Budget Parameters'!$C$25</f>
        <v>56.284800000000004</v>
      </c>
      <c r="H44" s="134">
        <f>D44*G44</f>
        <v>0</v>
      </c>
      <c r="I44" s="134">
        <f>H44+(H44*'Budget Parameters'!$C$22)</f>
        <v>0</v>
      </c>
      <c r="J44" s="134">
        <f>I44+(I44*'Budget Parameters'!$C$23)</f>
        <v>0</v>
      </c>
      <c r="K44" s="68" t="s">
        <v>351</v>
      </c>
      <c r="L44" s="68"/>
    </row>
    <row r="45" spans="1:12" s="124" customFormat="1" ht="12.75" outlineLevel="1" x14ac:dyDescent="0.2">
      <c r="A45" s="8" t="s">
        <v>279</v>
      </c>
      <c r="B45" s="77" t="s">
        <v>299</v>
      </c>
      <c r="C45" s="121"/>
      <c r="D45" s="70">
        <f>'Study Parameters'!D39*2</f>
        <v>0</v>
      </c>
      <c r="E45" s="44" t="s">
        <v>100</v>
      </c>
      <c r="F45" s="134">
        <f>VLOOKUP(E45,'Budget Parameters'!$A$7:$B$18,2,FALSE)</f>
        <v>52</v>
      </c>
      <c r="G45" s="134">
        <f>F45*'Budget Parameters'!$C$25</f>
        <v>56.284800000000004</v>
      </c>
      <c r="H45" s="134">
        <f>G45*D45</f>
        <v>0</v>
      </c>
      <c r="I45" s="134">
        <f>H45+(H45*'Budget Parameters'!$C$22)</f>
        <v>0</v>
      </c>
      <c r="J45" s="134">
        <f>I45+(I45*'Budget Parameters'!$C$23)</f>
        <v>0</v>
      </c>
      <c r="K45" s="68" t="s">
        <v>328</v>
      </c>
      <c r="L45" s="73"/>
    </row>
    <row r="46" spans="1:12" s="124" customFormat="1" ht="22.5" outlineLevel="1" x14ac:dyDescent="0.2">
      <c r="A46" s="3" t="s">
        <v>280</v>
      </c>
      <c r="B46" s="78" t="s">
        <v>301</v>
      </c>
      <c r="C46" s="121"/>
      <c r="D46" s="122"/>
      <c r="E46" s="122"/>
      <c r="F46" s="133">
        <v>26000</v>
      </c>
      <c r="G46" s="132">
        <f>F46*'Budget Parameters'!$C$25</f>
        <v>28142.400000000001</v>
      </c>
      <c r="H46" s="134">
        <f>G46*D46</f>
        <v>0</v>
      </c>
      <c r="I46" s="134">
        <f>H46</f>
        <v>0</v>
      </c>
      <c r="J46" s="134">
        <f>I46</f>
        <v>0</v>
      </c>
      <c r="K46" s="68" t="s">
        <v>282</v>
      </c>
      <c r="L46" s="123"/>
    </row>
    <row r="47" spans="1:12" ht="12.75" x14ac:dyDescent="0.2">
      <c r="A47" s="11" t="s">
        <v>2</v>
      </c>
      <c r="B47" s="12"/>
      <c r="C47" s="20"/>
      <c r="D47" s="25"/>
      <c r="E47" s="25"/>
      <c r="F47" s="135"/>
      <c r="G47" s="135"/>
      <c r="H47" s="136">
        <f>SUBTOTAL(9,H41:H46)</f>
        <v>54120</v>
      </c>
      <c r="I47" s="136">
        <f>SUBTOTAL(9,I41:I46)</f>
        <v>54120</v>
      </c>
      <c r="J47" s="136">
        <f>SUM(J41:J46)</f>
        <v>63320.4</v>
      </c>
      <c r="K47" s="74"/>
      <c r="L47" s="74"/>
    </row>
    <row r="48" spans="1:12" ht="15.75" x14ac:dyDescent="0.25">
      <c r="A48" s="95">
        <v>8</v>
      </c>
      <c r="B48" s="95" t="s">
        <v>82</v>
      </c>
      <c r="C48" s="18"/>
      <c r="D48" s="24"/>
      <c r="E48" s="24"/>
      <c r="F48" s="137"/>
      <c r="G48" s="137"/>
      <c r="H48" s="138"/>
      <c r="I48" s="133"/>
      <c r="J48" s="133"/>
      <c r="K48" s="72"/>
      <c r="L48" s="72"/>
    </row>
    <row r="49" spans="1:12" ht="12.75" outlineLevel="1" x14ac:dyDescent="0.2">
      <c r="A49" s="8" t="s">
        <v>10</v>
      </c>
      <c r="B49" s="78" t="s">
        <v>143</v>
      </c>
      <c r="C49" s="19"/>
      <c r="D49" s="44"/>
      <c r="E49" s="44" t="s">
        <v>168</v>
      </c>
      <c r="F49" s="133">
        <v>10400</v>
      </c>
      <c r="G49" s="132">
        <f>F49*'Budget Parameters'!$C$25</f>
        <v>11256.960000000001</v>
      </c>
      <c r="H49" s="134">
        <f>G49</f>
        <v>11256.960000000001</v>
      </c>
      <c r="I49" s="134">
        <f>H49</f>
        <v>11256.960000000001</v>
      </c>
      <c r="J49" s="134">
        <f>I49+(I49*'Budget Parameters'!$C$23)</f>
        <v>13170.643200000002</v>
      </c>
      <c r="K49" s="68"/>
      <c r="L49" s="68"/>
    </row>
    <row r="50" spans="1:12" ht="33.75" outlineLevel="1" x14ac:dyDescent="0.2">
      <c r="A50" s="8" t="s">
        <v>12</v>
      </c>
      <c r="B50" s="78" t="s">
        <v>145</v>
      </c>
      <c r="C50" s="19"/>
      <c r="D50" s="44"/>
      <c r="E50" s="44" t="s">
        <v>168</v>
      </c>
      <c r="F50" s="134">
        <f>(IF('Study Parameters'!C41=1,31200/2,31200))</f>
        <v>31200</v>
      </c>
      <c r="G50" s="134">
        <f>F50*'Budget Parameters'!$C$25</f>
        <v>33770.879999999997</v>
      </c>
      <c r="H50" s="134">
        <f>G50</f>
        <v>33770.879999999997</v>
      </c>
      <c r="I50" s="134">
        <f>H50</f>
        <v>33770.879999999997</v>
      </c>
      <c r="J50" s="134">
        <f>I50+(I50*'Budget Parameters'!$C$23)</f>
        <v>39511.929599999996</v>
      </c>
      <c r="K50" s="68"/>
      <c r="L50" s="68"/>
    </row>
    <row r="51" spans="1:12" ht="22.5" outlineLevel="1" x14ac:dyDescent="0.2">
      <c r="A51" s="8" t="s">
        <v>144</v>
      </c>
      <c r="B51" s="78" t="s">
        <v>320</v>
      </c>
      <c r="C51" s="19"/>
      <c r="D51" s="44"/>
      <c r="E51" s="44" t="s">
        <v>168</v>
      </c>
      <c r="F51" s="133">
        <v>10400</v>
      </c>
      <c r="G51" s="132">
        <f>F51*'Budget Parameters'!$C$25</f>
        <v>11256.960000000001</v>
      </c>
      <c r="H51" s="134">
        <f>G51*D51</f>
        <v>0</v>
      </c>
      <c r="I51" s="134">
        <f>H51</f>
        <v>0</v>
      </c>
      <c r="J51" s="134">
        <f>I51+(I51*'Budget Parameters'!$C$23)</f>
        <v>0</v>
      </c>
      <c r="K51" s="68"/>
      <c r="L51" s="68"/>
    </row>
    <row r="52" spans="1:12" ht="25.5" outlineLevel="1" x14ac:dyDescent="0.2">
      <c r="A52" s="8" t="s">
        <v>319</v>
      </c>
      <c r="B52" s="6" t="s">
        <v>83</v>
      </c>
      <c r="C52" s="19"/>
      <c r="D52" s="44"/>
      <c r="E52" s="44" t="s">
        <v>168</v>
      </c>
      <c r="F52" s="133">
        <v>10400</v>
      </c>
      <c r="G52" s="132">
        <f>F52*'Budget Parameters'!$C$25</f>
        <v>11256.960000000001</v>
      </c>
      <c r="H52" s="134">
        <f>G52</f>
        <v>11256.960000000001</v>
      </c>
      <c r="I52" s="134">
        <f>H52</f>
        <v>11256.960000000001</v>
      </c>
      <c r="J52" s="134">
        <f>I52+(I52*'Budget Parameters'!$C$23)</f>
        <v>13170.643200000002</v>
      </c>
      <c r="K52" s="68" t="s">
        <v>330</v>
      </c>
      <c r="L52" s="68"/>
    </row>
    <row r="53" spans="1:12" ht="38.25" outlineLevel="1" x14ac:dyDescent="0.2">
      <c r="A53" s="8" t="s">
        <v>333</v>
      </c>
      <c r="B53" s="6" t="s">
        <v>334</v>
      </c>
      <c r="C53" s="19"/>
      <c r="D53" s="44"/>
      <c r="E53" s="44" t="s">
        <v>168</v>
      </c>
      <c r="F53" s="133">
        <v>2000</v>
      </c>
      <c r="G53" s="132">
        <f>F53*'Budget Parameters'!$C$25</f>
        <v>2164.8000000000002</v>
      </c>
      <c r="H53" s="134">
        <f>G53</f>
        <v>2164.8000000000002</v>
      </c>
      <c r="I53" s="134">
        <f>H53</f>
        <v>2164.8000000000002</v>
      </c>
      <c r="J53" s="134">
        <f>I53+(I53*'Budget Parameters'!$C$23)</f>
        <v>2532.8160000000003</v>
      </c>
      <c r="K53" s="68" t="s">
        <v>344</v>
      </c>
      <c r="L53" s="68"/>
    </row>
    <row r="54" spans="1:12" ht="12.75" x14ac:dyDescent="0.2">
      <c r="A54" s="11" t="s">
        <v>2</v>
      </c>
      <c r="B54" s="12"/>
      <c r="C54" s="20"/>
      <c r="D54" s="25"/>
      <c r="E54" s="25"/>
      <c r="F54" s="135"/>
      <c r="G54" s="135"/>
      <c r="H54" s="136">
        <f>SUM(H49:H53)</f>
        <v>58449.599999999999</v>
      </c>
      <c r="I54" s="136">
        <f>SUM(I49:I53)</f>
        <v>58449.599999999999</v>
      </c>
      <c r="J54" s="136">
        <f>SUM(J49:J53)</f>
        <v>68386.032000000007</v>
      </c>
      <c r="K54" s="74"/>
      <c r="L54" s="74"/>
    </row>
    <row r="55" spans="1:12" ht="15.75" x14ac:dyDescent="0.25">
      <c r="A55" s="95">
        <v>9</v>
      </c>
      <c r="B55" s="95" t="s">
        <v>11</v>
      </c>
      <c r="C55" s="18"/>
      <c r="D55" s="24"/>
      <c r="E55" s="24"/>
      <c r="F55" s="137"/>
      <c r="G55" s="137"/>
      <c r="H55" s="138"/>
      <c r="I55" s="133"/>
      <c r="J55" s="133"/>
      <c r="K55" s="72"/>
      <c r="L55" s="72"/>
    </row>
    <row r="56" spans="1:12" ht="25.5" outlineLevel="1" x14ac:dyDescent="0.2">
      <c r="A56" s="8" t="s">
        <v>84</v>
      </c>
      <c r="B56" s="6" t="s">
        <v>85</v>
      </c>
      <c r="C56" s="80" t="s">
        <v>245</v>
      </c>
      <c r="D56" s="117">
        <f>IF('Study Parameters'!C41=1,1,0.9)*(((IF('Study Parameters'!C20="no",0.2,0.3))+(IF('Study Parameters'!C41&gt;2,0.1,0)))+IF(AND('Study Parameters'!C20="no",'Study Parameters'!C19&lt;26),('Study Parameters'!C19*'Budget Parameters'!C36),IF(AND('Study Parameters'!C20="no",'Study Parameters'!C19&gt;25),(25*'Budget Parameters'!C36+('Study Parameters'!C19-25)*'Budget Parameters'!C37),'Study Parameters'!C19*'Budget Parameters'!C38)))</f>
        <v>0.27</v>
      </c>
      <c r="E56" s="44" t="s">
        <v>18</v>
      </c>
      <c r="F56" s="131">
        <f>VLOOKUP(E56,'Budget Parameters'!$A$7:$B$18,2,FALSE)*1605.2/12*'Study Parameters'!D30</f>
        <v>0</v>
      </c>
      <c r="G56" s="131">
        <f>F56*'Budget Parameters'!$C$25</f>
        <v>0</v>
      </c>
      <c r="H56" s="134">
        <f>G56*D56</f>
        <v>0</v>
      </c>
      <c r="I56" s="134">
        <f>H56+(H56*'Budget Parameters'!$C$22)</f>
        <v>0</v>
      </c>
      <c r="J56" s="134">
        <f>I56+(I56*'Budget Parameters'!$C$23)</f>
        <v>0</v>
      </c>
      <c r="K56" s="100" t="s">
        <v>246</v>
      </c>
      <c r="L56" s="73"/>
    </row>
    <row r="57" spans="1:12" ht="22.5" outlineLevel="1" x14ac:dyDescent="0.2">
      <c r="A57" s="8" t="s">
        <v>86</v>
      </c>
      <c r="B57" s="78" t="s">
        <v>273</v>
      </c>
      <c r="C57" s="80" t="s">
        <v>245</v>
      </c>
      <c r="D57" s="117">
        <f>IF('Study Parameters'!C41=1,1,0.1)*(((IF('Study Parameters'!C20="no",0.2,0.3))+(IF('Study Parameters'!C41&gt;2,0.1,0)))+IF(AND('Study Parameters'!C20="no",'Study Parameters'!C19&lt;26),('Study Parameters'!C19*'Budget Parameters'!C36),IF(AND('Study Parameters'!C20="no",'Study Parameters'!C19&gt;25),(25*'Budget Parameters'!C36+('Study Parameters'!C19-25)*'Budget Parameters'!C37),'Study Parameters'!C19*'Budget Parameters'!C38)))</f>
        <v>0.03</v>
      </c>
      <c r="E57" s="44" t="s">
        <v>18</v>
      </c>
      <c r="F57" s="131">
        <f>VLOOKUP(E57,'Budget Parameters'!$A$7:$B$18,2,FALSE)*1605.2/12*'Study Parameters'!D30</f>
        <v>0</v>
      </c>
      <c r="G57" s="131">
        <f>F57*'Budget Parameters'!$C$25</f>
        <v>0</v>
      </c>
      <c r="H57" s="134">
        <f>G57*D57</f>
        <v>0</v>
      </c>
      <c r="I57" s="134">
        <f>H57+(H57*'Budget Parameters'!$C$22)</f>
        <v>0</v>
      </c>
      <c r="J57" s="134">
        <f>I57+(I57*'Budget Parameters'!$C$23)</f>
        <v>0</v>
      </c>
      <c r="K57" s="100"/>
      <c r="L57" s="73"/>
    </row>
    <row r="58" spans="1:12" ht="25.5" outlineLevel="1" x14ac:dyDescent="0.2">
      <c r="A58" s="8" t="s">
        <v>87</v>
      </c>
      <c r="B58" s="6" t="s">
        <v>274</v>
      </c>
      <c r="C58" s="19"/>
      <c r="D58" s="44"/>
      <c r="E58" s="44" t="s">
        <v>266</v>
      </c>
      <c r="F58" s="151">
        <f>'Budget Parameters'!C24</f>
        <v>0.21</v>
      </c>
      <c r="G58" s="151">
        <f>'Budget Parameters'!C24</f>
        <v>0.21</v>
      </c>
      <c r="H58" s="134"/>
      <c r="I58" s="134"/>
      <c r="J58" s="134">
        <f>J57*G58</f>
        <v>0</v>
      </c>
      <c r="K58" s="68" t="s">
        <v>267</v>
      </c>
      <c r="L58" s="68"/>
    </row>
    <row r="59" spans="1:12" ht="12.75" outlineLevel="1" x14ac:dyDescent="0.2">
      <c r="A59" s="8" t="s">
        <v>88</v>
      </c>
      <c r="B59" s="6" t="s">
        <v>35</v>
      </c>
      <c r="C59" s="19" t="s">
        <v>1</v>
      </c>
      <c r="D59" s="70">
        <f>'Study Parameters'!D30</f>
        <v>0</v>
      </c>
      <c r="E59" s="44" t="s">
        <v>168</v>
      </c>
      <c r="F59" s="133">
        <v>260</v>
      </c>
      <c r="G59" s="132">
        <f>F59*'Budget Parameters'!$C$25</f>
        <v>281.42400000000004</v>
      </c>
      <c r="H59" s="134">
        <f t="shared" ref="H59:H65" si="7">G59*D59</f>
        <v>0</v>
      </c>
      <c r="I59" s="134">
        <f>H59+(H59*'Budget Parameters'!$C$22)</f>
        <v>0</v>
      </c>
      <c r="J59" s="134">
        <f>I59+(I59*'Budget Parameters'!$C$23)</f>
        <v>0</v>
      </c>
      <c r="K59" s="68" t="s">
        <v>304</v>
      </c>
      <c r="L59" s="68"/>
    </row>
    <row r="60" spans="1:12" ht="22.5" outlineLevel="1" x14ac:dyDescent="0.2">
      <c r="A60" s="8" t="s">
        <v>307</v>
      </c>
      <c r="B60" s="78" t="s">
        <v>256</v>
      </c>
      <c r="C60" s="19" t="s">
        <v>182</v>
      </c>
      <c r="D60" s="70">
        <f>IF('Study Parameters'!C41=1,0,1)</f>
        <v>1</v>
      </c>
      <c r="E60" s="44" t="s">
        <v>168</v>
      </c>
      <c r="F60" s="134">
        <f>IF('Study Parameters'!C41=1,0,3640)</f>
        <v>3640</v>
      </c>
      <c r="G60" s="134">
        <f>F60*'Budget Parameters'!$C$25</f>
        <v>3939.9360000000001</v>
      </c>
      <c r="H60" s="134">
        <f t="shared" si="7"/>
        <v>3939.9360000000001</v>
      </c>
      <c r="I60" s="134">
        <f t="shared" ref="I60:I65" si="8">H60</f>
        <v>3939.9360000000001</v>
      </c>
      <c r="J60" s="134">
        <f>I60+(I60*'Budget Parameters'!$C$23)</f>
        <v>4609.7251200000001</v>
      </c>
      <c r="K60" s="68" t="s">
        <v>146</v>
      </c>
      <c r="L60" s="68"/>
    </row>
    <row r="61" spans="1:12" ht="25.5" outlineLevel="1" x14ac:dyDescent="0.2">
      <c r="A61" s="8" t="s">
        <v>184</v>
      </c>
      <c r="B61" s="6" t="s">
        <v>149</v>
      </c>
      <c r="C61" s="19" t="s">
        <v>182</v>
      </c>
      <c r="D61" s="44">
        <v>0</v>
      </c>
      <c r="E61" s="44" t="s">
        <v>168</v>
      </c>
      <c r="F61" s="133">
        <v>2080</v>
      </c>
      <c r="G61" s="132">
        <f>F61*'Budget Parameters'!$C$25</f>
        <v>2251.3920000000003</v>
      </c>
      <c r="H61" s="134">
        <f t="shared" si="7"/>
        <v>0</v>
      </c>
      <c r="I61" s="134">
        <f t="shared" si="8"/>
        <v>0</v>
      </c>
      <c r="J61" s="134">
        <f>I61+(I61*'Budget Parameters'!$C$23)</f>
        <v>0</v>
      </c>
      <c r="K61" s="68" t="s">
        <v>198</v>
      </c>
      <c r="L61" s="68"/>
    </row>
    <row r="62" spans="1:12" ht="12.75" outlineLevel="1" x14ac:dyDescent="0.2">
      <c r="A62" s="8" t="s">
        <v>185</v>
      </c>
      <c r="B62" s="6" t="s">
        <v>147</v>
      </c>
      <c r="C62" s="19" t="s">
        <v>182</v>
      </c>
      <c r="D62" s="70">
        <f>IF('Study Parameters'!C41=1,0,1)</f>
        <v>1</v>
      </c>
      <c r="E62" s="44" t="s">
        <v>168</v>
      </c>
      <c r="F62" s="134">
        <f>IF('Study Parameters'!C41=1,0,3640)</f>
        <v>3640</v>
      </c>
      <c r="G62" s="134">
        <f>F62*'Budget Parameters'!$C$25</f>
        <v>3939.9360000000001</v>
      </c>
      <c r="H62" s="134">
        <f t="shared" si="7"/>
        <v>3939.9360000000001</v>
      </c>
      <c r="I62" s="134">
        <f t="shared" si="8"/>
        <v>3939.9360000000001</v>
      </c>
      <c r="J62" s="134">
        <f>I62+(I62*'Budget Parameters'!$C$23)</f>
        <v>4609.7251200000001</v>
      </c>
      <c r="K62" s="68"/>
      <c r="L62" s="68"/>
    </row>
    <row r="63" spans="1:12" ht="12.75" outlineLevel="1" x14ac:dyDescent="0.2">
      <c r="A63" s="8" t="s">
        <v>186</v>
      </c>
      <c r="B63" s="6" t="s">
        <v>443</v>
      </c>
      <c r="C63" s="19"/>
      <c r="D63" s="70">
        <f>1+(2*'Study Parameters'!D32)</f>
        <v>1</v>
      </c>
      <c r="E63" s="44" t="s">
        <v>168</v>
      </c>
      <c r="F63" s="133">
        <v>1664</v>
      </c>
      <c r="G63" s="132">
        <f>F63*'Budget Parameters'!$C$25</f>
        <v>1801.1136000000001</v>
      </c>
      <c r="H63" s="134">
        <f t="shared" si="7"/>
        <v>1801.1136000000001</v>
      </c>
      <c r="I63" s="134">
        <f t="shared" si="8"/>
        <v>1801.1136000000001</v>
      </c>
      <c r="J63" s="134">
        <f>I63+(I63*'Budget Parameters'!$C$23)</f>
        <v>2107.3029120000001</v>
      </c>
      <c r="K63" s="68" t="s">
        <v>197</v>
      </c>
      <c r="L63" s="68"/>
    </row>
    <row r="64" spans="1:12" ht="22.5" outlineLevel="1" x14ac:dyDescent="0.2">
      <c r="A64" s="8" t="s">
        <v>259</v>
      </c>
      <c r="B64" s="78" t="s">
        <v>148</v>
      </c>
      <c r="C64" s="19"/>
      <c r="D64" s="70">
        <f>'Study Parameters'!D33*2</f>
        <v>0</v>
      </c>
      <c r="E64" s="44" t="s">
        <v>168</v>
      </c>
      <c r="F64" s="133">
        <v>520</v>
      </c>
      <c r="G64" s="132">
        <f>F64*'Budget Parameters'!$C$25</f>
        <v>562.84800000000007</v>
      </c>
      <c r="H64" s="134">
        <f t="shared" si="7"/>
        <v>0</v>
      </c>
      <c r="I64" s="134">
        <f t="shared" si="8"/>
        <v>0</v>
      </c>
      <c r="J64" s="134">
        <f>I64+(I64*'Budget Parameters'!$C$23)</f>
        <v>0</v>
      </c>
      <c r="K64" s="68" t="s">
        <v>200</v>
      </c>
      <c r="L64" s="68"/>
    </row>
    <row r="65" spans="1:12" ht="22.5" outlineLevel="1" x14ac:dyDescent="0.2">
      <c r="A65" s="8" t="s">
        <v>272</v>
      </c>
      <c r="B65" s="78" t="s">
        <v>148</v>
      </c>
      <c r="C65" s="19"/>
      <c r="D65" s="70">
        <f>'Study Parameters'!D30-'Study Parameters'!D33</f>
        <v>0</v>
      </c>
      <c r="E65" s="44" t="s">
        <v>168</v>
      </c>
      <c r="F65" s="133">
        <v>520</v>
      </c>
      <c r="G65" s="132">
        <f>F65*'Budget Parameters'!$C$25</f>
        <v>562.84800000000007</v>
      </c>
      <c r="H65" s="134">
        <f t="shared" si="7"/>
        <v>0</v>
      </c>
      <c r="I65" s="134">
        <f t="shared" si="8"/>
        <v>0</v>
      </c>
      <c r="J65" s="134">
        <f>I65+(I65*'Budget Parameters'!$C$23)</f>
        <v>0</v>
      </c>
      <c r="K65" s="68" t="s">
        <v>201</v>
      </c>
      <c r="L65" s="68"/>
    </row>
    <row r="66" spans="1:12" ht="12.75" x14ac:dyDescent="0.2">
      <c r="A66" s="11" t="s">
        <v>2</v>
      </c>
      <c r="B66" s="12"/>
      <c r="C66" s="20"/>
      <c r="D66" s="25"/>
      <c r="E66" s="25"/>
      <c r="F66" s="135"/>
      <c r="G66" s="135"/>
      <c r="H66" s="136">
        <f>SUM(H56:H65)</f>
        <v>9680.9856</v>
      </c>
      <c r="I66" s="136">
        <f>SUM(I56:I65)</f>
        <v>9680.9856</v>
      </c>
      <c r="J66" s="136">
        <f>SUM(J56:J65)</f>
        <v>11326.753152000001</v>
      </c>
      <c r="K66" s="74"/>
      <c r="L66" s="74"/>
    </row>
    <row r="67" spans="1:12" ht="15.75" x14ac:dyDescent="0.25">
      <c r="A67" s="95">
        <v>10</v>
      </c>
      <c r="B67" s="95" t="s">
        <v>171</v>
      </c>
      <c r="C67" s="18"/>
      <c r="D67" s="24"/>
      <c r="E67" s="24"/>
      <c r="F67" s="137"/>
      <c r="G67" s="137"/>
      <c r="H67" s="138"/>
      <c r="I67" s="133"/>
      <c r="J67" s="133"/>
      <c r="K67" s="72"/>
      <c r="L67" s="72"/>
    </row>
    <row r="68" spans="1:12" ht="12.75" outlineLevel="1" x14ac:dyDescent="0.2">
      <c r="A68" s="8" t="s">
        <v>172</v>
      </c>
      <c r="B68" s="6" t="s">
        <v>177</v>
      </c>
      <c r="C68" s="19" t="s">
        <v>182</v>
      </c>
      <c r="D68" s="44">
        <v>1</v>
      </c>
      <c r="E68" s="44" t="s">
        <v>168</v>
      </c>
      <c r="F68" s="133">
        <v>2080</v>
      </c>
      <c r="G68" s="132">
        <f>F68*'Budget Parameters'!$C$25</f>
        <v>2251.3920000000003</v>
      </c>
      <c r="H68" s="134">
        <f>G68*D68</f>
        <v>2251.3920000000003</v>
      </c>
      <c r="I68" s="134">
        <f>H68</f>
        <v>2251.3920000000003</v>
      </c>
      <c r="J68" s="134">
        <f>I68+(I68*'Budget Parameters'!$C$23)</f>
        <v>2634.1286400000004</v>
      </c>
      <c r="K68" s="68"/>
      <c r="L68" s="68"/>
    </row>
    <row r="69" spans="1:12" ht="12.75" outlineLevel="1" x14ac:dyDescent="0.2">
      <c r="A69" s="8" t="s">
        <v>173</v>
      </c>
      <c r="B69" s="6" t="s">
        <v>178</v>
      </c>
      <c r="C69" s="19" t="s">
        <v>182</v>
      </c>
      <c r="D69" s="70">
        <f>D63*2</f>
        <v>2</v>
      </c>
      <c r="E69" s="44" t="s">
        <v>168</v>
      </c>
      <c r="F69" s="133">
        <v>208</v>
      </c>
      <c r="G69" s="132">
        <f>F69*'Budget Parameters'!$C$25</f>
        <v>225.13920000000002</v>
      </c>
      <c r="H69" s="134">
        <f>G69*D69</f>
        <v>450.27840000000003</v>
      </c>
      <c r="I69" s="134">
        <f>H69</f>
        <v>450.27840000000003</v>
      </c>
      <c r="J69" s="134">
        <f>I69+(I69*'Budget Parameters'!$C$23)</f>
        <v>526.82572800000003</v>
      </c>
      <c r="K69" s="68" t="s">
        <v>247</v>
      </c>
      <c r="L69" s="68"/>
    </row>
    <row r="70" spans="1:12" ht="12.75" outlineLevel="1" x14ac:dyDescent="0.2">
      <c r="A70" s="8" t="s">
        <v>187</v>
      </c>
      <c r="B70" s="6" t="s">
        <v>181</v>
      </c>
      <c r="C70" s="19" t="s">
        <v>192</v>
      </c>
      <c r="D70" s="70"/>
      <c r="E70" s="44"/>
      <c r="F70" s="133"/>
      <c r="G70" s="133"/>
      <c r="H70" s="134"/>
      <c r="I70" s="134"/>
      <c r="J70" s="134"/>
      <c r="K70" s="68"/>
      <c r="L70" s="68"/>
    </row>
    <row r="71" spans="1:12" ht="12.75" x14ac:dyDescent="0.2">
      <c r="A71" s="11"/>
      <c r="B71" s="12"/>
      <c r="C71" s="20"/>
      <c r="D71" s="25"/>
      <c r="E71" s="25"/>
      <c r="F71" s="136"/>
      <c r="G71" s="136"/>
      <c r="H71" s="136">
        <f>SUM(H68:H70)</f>
        <v>2701.6704000000004</v>
      </c>
      <c r="I71" s="136">
        <f>SUM(I68:I70)</f>
        <v>2701.6704000000004</v>
      </c>
      <c r="J71" s="136">
        <f>SUM(J68:J70)</f>
        <v>3160.9543680000006</v>
      </c>
      <c r="K71" s="74"/>
      <c r="L71" s="74"/>
    </row>
    <row r="72" spans="1:12" ht="15.75" x14ac:dyDescent="0.25">
      <c r="A72" s="95">
        <v>11</v>
      </c>
      <c r="B72" s="95" t="s">
        <v>55</v>
      </c>
      <c r="C72" s="18"/>
      <c r="D72" s="24"/>
      <c r="E72" s="24"/>
      <c r="F72" s="137"/>
      <c r="G72" s="137"/>
      <c r="H72" s="138"/>
      <c r="I72" s="133"/>
      <c r="J72" s="133"/>
      <c r="K72" s="72"/>
      <c r="L72" s="72"/>
    </row>
    <row r="73" spans="1:12" ht="12.75" outlineLevel="1" x14ac:dyDescent="0.2">
      <c r="A73" s="8" t="s">
        <v>41</v>
      </c>
      <c r="B73" s="6" t="s">
        <v>56</v>
      </c>
      <c r="C73" s="19" t="s">
        <v>1</v>
      </c>
      <c r="D73" s="44"/>
      <c r="E73" s="44" t="s">
        <v>138</v>
      </c>
      <c r="F73" s="134">
        <f>VLOOKUP(E73,'Budget Parameters'!$A$7:$B$18,2,FALSE)</f>
        <v>62.400000000000006</v>
      </c>
      <c r="G73" s="134">
        <f>F73*'Budget Parameters'!$C$25</f>
        <v>67.541760000000011</v>
      </c>
      <c r="H73" s="134">
        <f>D73*G73</f>
        <v>0</v>
      </c>
      <c r="I73" s="134">
        <f>H73+(H73*'Budget Parameters'!$C$22)</f>
        <v>0</v>
      </c>
      <c r="J73" s="134">
        <f>I73+(I73*'Budget Parameters'!$C$23)</f>
        <v>0</v>
      </c>
      <c r="K73" s="68"/>
      <c r="L73" s="68"/>
    </row>
    <row r="74" spans="1:12" ht="12.75" outlineLevel="1" x14ac:dyDescent="0.2">
      <c r="A74" s="8" t="s">
        <v>43</v>
      </c>
      <c r="B74" s="6" t="s">
        <v>90</v>
      </c>
      <c r="C74" s="19" t="s">
        <v>93</v>
      </c>
      <c r="D74" s="44"/>
      <c r="E74" s="44" t="s">
        <v>99</v>
      </c>
      <c r="F74" s="134"/>
      <c r="G74" s="134"/>
      <c r="H74" s="134">
        <f>D74*G74</f>
        <v>0</v>
      </c>
      <c r="I74" s="134">
        <f>H74</f>
        <v>0</v>
      </c>
      <c r="J74" s="134">
        <f>I74</f>
        <v>0</v>
      </c>
      <c r="K74" s="68"/>
      <c r="L74" s="68"/>
    </row>
    <row r="75" spans="1:12" ht="12.75" outlineLevel="1" x14ac:dyDescent="0.2">
      <c r="A75" s="8" t="s">
        <v>42</v>
      </c>
      <c r="B75" s="6" t="s">
        <v>89</v>
      </c>
      <c r="C75" s="19" t="s">
        <v>1</v>
      </c>
      <c r="D75" s="44"/>
      <c r="E75" s="44" t="s">
        <v>99</v>
      </c>
      <c r="F75" s="133"/>
      <c r="G75" s="133"/>
      <c r="H75" s="134">
        <f>D75*G75</f>
        <v>0</v>
      </c>
      <c r="I75" s="134">
        <f>H75</f>
        <v>0</v>
      </c>
      <c r="J75" s="134">
        <f>H75</f>
        <v>0</v>
      </c>
      <c r="K75" s="68"/>
      <c r="L75" s="68"/>
    </row>
    <row r="76" spans="1:12" ht="12.75" outlineLevel="1" x14ac:dyDescent="0.2">
      <c r="A76" s="8" t="s">
        <v>45</v>
      </c>
      <c r="B76" s="6" t="s">
        <v>47</v>
      </c>
      <c r="C76" s="19" t="s">
        <v>1</v>
      </c>
      <c r="D76" s="44"/>
      <c r="E76" s="44" t="s">
        <v>99</v>
      </c>
      <c r="F76" s="133"/>
      <c r="G76" s="133"/>
      <c r="H76" s="134">
        <f>D76*G76</f>
        <v>0</v>
      </c>
      <c r="I76" s="134">
        <f>H76</f>
        <v>0</v>
      </c>
      <c r="J76" s="134">
        <f>H76</f>
        <v>0</v>
      </c>
      <c r="K76" s="68"/>
      <c r="L76" s="68"/>
    </row>
    <row r="77" spans="1:12" ht="12.75" outlineLevel="1" x14ac:dyDescent="0.2">
      <c r="A77" s="8" t="s">
        <v>49</v>
      </c>
      <c r="B77" s="6" t="s">
        <v>48</v>
      </c>
      <c r="C77" s="19" t="s">
        <v>1</v>
      </c>
      <c r="D77" s="44"/>
      <c r="E77" s="44" t="s">
        <v>99</v>
      </c>
      <c r="F77" s="133"/>
      <c r="G77" s="133"/>
      <c r="H77" s="134">
        <f>D77*G77</f>
        <v>0</v>
      </c>
      <c r="I77" s="134">
        <f>H77</f>
        <v>0</v>
      </c>
      <c r="J77" s="134">
        <f>H77</f>
        <v>0</v>
      </c>
      <c r="K77" s="68"/>
      <c r="L77" s="68"/>
    </row>
    <row r="78" spans="1:12" ht="25.5" outlineLevel="1" x14ac:dyDescent="0.2">
      <c r="A78" s="8" t="s">
        <v>50</v>
      </c>
      <c r="B78" s="6" t="s">
        <v>265</v>
      </c>
      <c r="C78" s="19"/>
      <c r="D78" s="44"/>
      <c r="E78" s="44" t="s">
        <v>266</v>
      </c>
      <c r="F78" s="151">
        <f>'Budget Parameters'!C24</f>
        <v>0.21</v>
      </c>
      <c r="G78" s="151">
        <f>'Budget Parameters'!C24</f>
        <v>0.21</v>
      </c>
      <c r="H78" s="134"/>
      <c r="I78" s="134"/>
      <c r="J78" s="134">
        <f>SUM(J73:J77)*G78</f>
        <v>0</v>
      </c>
      <c r="K78" s="68" t="s">
        <v>267</v>
      </c>
      <c r="L78" s="68"/>
    </row>
    <row r="79" spans="1:12" ht="12.75" x14ac:dyDescent="0.2">
      <c r="A79" s="11" t="s">
        <v>2</v>
      </c>
      <c r="B79" s="12"/>
      <c r="C79" s="20"/>
      <c r="D79" s="25"/>
      <c r="E79" s="25"/>
      <c r="F79" s="135"/>
      <c r="G79" s="135"/>
      <c r="H79" s="136">
        <f>SUM(H73:H78)</f>
        <v>0</v>
      </c>
      <c r="I79" s="136">
        <f>SUM(I73:I78)</f>
        <v>0</v>
      </c>
      <c r="J79" s="136">
        <f>SUM(J73:J78)</f>
        <v>0</v>
      </c>
      <c r="K79" s="74"/>
      <c r="L79" s="74"/>
    </row>
    <row r="80" spans="1:12" ht="15.75" x14ac:dyDescent="0.25">
      <c r="A80" s="95">
        <v>12</v>
      </c>
      <c r="B80" s="95" t="s">
        <v>57</v>
      </c>
      <c r="C80" s="18"/>
      <c r="D80" s="24"/>
      <c r="E80" s="24"/>
      <c r="F80" s="137"/>
      <c r="G80" s="137"/>
      <c r="H80" s="138"/>
      <c r="I80" s="133"/>
      <c r="J80" s="133"/>
      <c r="K80" s="68"/>
      <c r="L80" s="68"/>
    </row>
    <row r="81" spans="1:12" ht="25.5" outlineLevel="1" x14ac:dyDescent="0.2">
      <c r="A81" s="8" t="s">
        <v>44</v>
      </c>
      <c r="B81" s="6" t="s">
        <v>310</v>
      </c>
      <c r="C81" s="19" t="s">
        <v>58</v>
      </c>
      <c r="D81" s="70"/>
      <c r="E81" s="44" t="s">
        <v>311</v>
      </c>
      <c r="F81" s="134">
        <f>'Site Costs'!B28</f>
        <v>0</v>
      </c>
      <c r="G81" s="134">
        <f>'Site Costs'!B28</f>
        <v>0</v>
      </c>
      <c r="H81" s="134">
        <f>G81</f>
        <v>0</v>
      </c>
      <c r="I81" s="134">
        <f>G81</f>
        <v>0</v>
      </c>
      <c r="J81" s="134">
        <f>G81</f>
        <v>0</v>
      </c>
      <c r="K81" s="68" t="s">
        <v>312</v>
      </c>
      <c r="L81" s="68"/>
    </row>
    <row r="82" spans="1:12" ht="25.5" outlineLevel="1" x14ac:dyDescent="0.2">
      <c r="A82" s="8" t="s">
        <v>360</v>
      </c>
      <c r="B82" s="6" t="s">
        <v>270</v>
      </c>
      <c r="C82" s="19"/>
      <c r="D82" s="44"/>
      <c r="E82" s="44" t="s">
        <v>266</v>
      </c>
      <c r="F82" s="151">
        <f>'Budget Parameters'!C24</f>
        <v>0.21</v>
      </c>
      <c r="G82" s="151">
        <f>'Budget Parameters'!C24</f>
        <v>0.21</v>
      </c>
      <c r="H82" s="134"/>
      <c r="I82" s="134"/>
      <c r="J82" s="134">
        <f>SUM(J81:J81)*G82</f>
        <v>0</v>
      </c>
      <c r="K82" s="68" t="s">
        <v>267</v>
      </c>
      <c r="L82" s="68"/>
    </row>
    <row r="83" spans="1:12" ht="12.75" x14ac:dyDescent="0.2">
      <c r="A83" s="11" t="s">
        <v>2</v>
      </c>
      <c r="B83" s="12"/>
      <c r="C83" s="20"/>
      <c r="D83" s="25"/>
      <c r="E83" s="25"/>
      <c r="F83" s="136"/>
      <c r="G83" s="136"/>
      <c r="H83" s="136">
        <f>SUM(H81:H82)</f>
        <v>0</v>
      </c>
      <c r="I83" s="136">
        <f>SUM(I81:I82)</f>
        <v>0</v>
      </c>
      <c r="J83" s="136">
        <f>SUM(J81:J82)</f>
        <v>0</v>
      </c>
      <c r="K83" s="74"/>
      <c r="L83" s="74"/>
    </row>
    <row r="84" spans="1:12" ht="31.5" x14ac:dyDescent="0.25">
      <c r="A84" s="95">
        <v>13</v>
      </c>
      <c r="B84" s="157" t="s">
        <v>169</v>
      </c>
      <c r="C84" s="18"/>
      <c r="D84" s="24"/>
      <c r="E84" s="24"/>
      <c r="F84" s="138"/>
      <c r="G84" s="138"/>
      <c r="H84" s="138"/>
      <c r="I84" s="133"/>
      <c r="J84" s="133"/>
      <c r="K84" s="68"/>
      <c r="L84" s="68"/>
    </row>
    <row r="85" spans="1:12" ht="12.75" outlineLevel="1" x14ac:dyDescent="0.2">
      <c r="A85" s="8" t="s">
        <v>174</v>
      </c>
      <c r="B85" s="6" t="s">
        <v>91</v>
      </c>
      <c r="C85" s="19" t="s">
        <v>94</v>
      </c>
      <c r="D85" s="44"/>
      <c r="E85" s="44"/>
      <c r="F85" s="133"/>
      <c r="G85" s="133"/>
      <c r="H85" s="133">
        <f>G85</f>
        <v>0</v>
      </c>
      <c r="I85" s="133">
        <f t="shared" ref="I85:I87" si="9">H85</f>
        <v>0</v>
      </c>
      <c r="J85" s="133">
        <f>H85</f>
        <v>0</v>
      </c>
      <c r="K85" s="68"/>
      <c r="L85" s="68"/>
    </row>
    <row r="86" spans="1:12" ht="12.75" outlineLevel="1" x14ac:dyDescent="0.2">
      <c r="A86" s="8" t="s">
        <v>175</v>
      </c>
      <c r="B86" s="6" t="s">
        <v>28</v>
      </c>
      <c r="C86" s="19" t="s">
        <v>92</v>
      </c>
      <c r="D86" s="44"/>
      <c r="E86" s="44"/>
      <c r="F86" s="133"/>
      <c r="G86" s="133"/>
      <c r="H86" s="133">
        <f>G86</f>
        <v>0</v>
      </c>
      <c r="I86" s="133">
        <f t="shared" si="9"/>
        <v>0</v>
      </c>
      <c r="J86" s="133">
        <f t="shared" ref="J86:J87" si="10">H86</f>
        <v>0</v>
      </c>
      <c r="K86" s="68"/>
      <c r="L86" s="68"/>
    </row>
    <row r="87" spans="1:12" ht="12.75" outlineLevel="1" x14ac:dyDescent="0.2">
      <c r="A87" s="8" t="s">
        <v>176</v>
      </c>
      <c r="B87" s="6" t="s">
        <v>252</v>
      </c>
      <c r="C87" s="19" t="s">
        <v>94</v>
      </c>
      <c r="D87" s="44"/>
      <c r="E87" s="44"/>
      <c r="F87" s="133"/>
      <c r="G87" s="133"/>
      <c r="H87" s="133">
        <f>G87</f>
        <v>0</v>
      </c>
      <c r="I87" s="133">
        <f t="shared" si="9"/>
        <v>0</v>
      </c>
      <c r="J87" s="133">
        <f t="shared" si="10"/>
        <v>0</v>
      </c>
      <c r="K87" s="68"/>
      <c r="L87" s="68"/>
    </row>
    <row r="88" spans="1:12" ht="12.75" outlineLevel="1" x14ac:dyDescent="0.2">
      <c r="A88" s="8" t="s">
        <v>339</v>
      </c>
      <c r="B88" s="6" t="s">
        <v>340</v>
      </c>
      <c r="C88" s="19" t="s">
        <v>94</v>
      </c>
      <c r="D88" s="44"/>
      <c r="E88" s="44"/>
      <c r="F88" s="133"/>
      <c r="G88" s="133"/>
      <c r="H88" s="133">
        <f>D88*G88</f>
        <v>0</v>
      </c>
      <c r="I88" s="133">
        <f>H88</f>
        <v>0</v>
      </c>
      <c r="J88" s="133">
        <f>I88</f>
        <v>0</v>
      </c>
      <c r="K88" s="68"/>
      <c r="L88" s="68"/>
    </row>
    <row r="89" spans="1:12" ht="12.75" outlineLevel="1" x14ac:dyDescent="0.2">
      <c r="A89" s="8" t="s">
        <v>357</v>
      </c>
      <c r="B89" s="6" t="s">
        <v>359</v>
      </c>
      <c r="C89" s="19" t="s">
        <v>94</v>
      </c>
      <c r="D89" s="44"/>
      <c r="E89" s="44"/>
      <c r="F89" s="133"/>
      <c r="G89" s="133"/>
      <c r="H89" s="133"/>
      <c r="I89" s="133"/>
      <c r="J89" s="133"/>
      <c r="K89" s="68"/>
      <c r="L89" s="68"/>
    </row>
    <row r="90" spans="1:12" ht="25.5" outlineLevel="1" x14ac:dyDescent="0.2">
      <c r="A90" s="8" t="s">
        <v>358</v>
      </c>
      <c r="B90" s="6" t="s">
        <v>271</v>
      </c>
      <c r="C90" s="19"/>
      <c r="D90" s="44"/>
      <c r="E90" s="44" t="s">
        <v>266</v>
      </c>
      <c r="F90" s="152">
        <f>'Budget Parameters'!C24</f>
        <v>0.21</v>
      </c>
      <c r="G90" s="152">
        <f>'Budget Parameters'!C24</f>
        <v>0.21</v>
      </c>
      <c r="H90" s="134"/>
      <c r="I90" s="134"/>
      <c r="J90" s="134">
        <f>SUM(J85:J87)*G90</f>
        <v>0</v>
      </c>
      <c r="K90" s="68" t="s">
        <v>267</v>
      </c>
      <c r="L90" s="68"/>
    </row>
    <row r="91" spans="1:12" ht="12.75" x14ac:dyDescent="0.2">
      <c r="A91" s="11" t="s">
        <v>2</v>
      </c>
      <c r="B91" s="12"/>
      <c r="C91" s="20"/>
      <c r="D91" s="25"/>
      <c r="E91" s="25"/>
      <c r="F91" s="136"/>
      <c r="G91" s="136"/>
      <c r="H91" s="136">
        <f>SUM(H85:H90)</f>
        <v>0</v>
      </c>
      <c r="I91" s="136">
        <f>SUM(I85:I90)</f>
        <v>0</v>
      </c>
      <c r="J91" s="136">
        <f>SUM(J85:J90)</f>
        <v>0</v>
      </c>
      <c r="K91" s="74"/>
      <c r="L91" s="74"/>
    </row>
    <row r="92" spans="1:12" ht="12.75" x14ac:dyDescent="0.2">
      <c r="F92" s="139"/>
      <c r="G92" s="139"/>
      <c r="H92" s="139"/>
      <c r="I92" s="133"/>
      <c r="J92" s="133"/>
    </row>
    <row r="93" spans="1:12" ht="15.75" x14ac:dyDescent="0.25">
      <c r="A93" s="93" t="s">
        <v>118</v>
      </c>
      <c r="B93" s="15"/>
      <c r="C93" s="21"/>
      <c r="D93" s="26"/>
      <c r="E93" s="26"/>
      <c r="F93" s="140"/>
      <c r="G93" s="140"/>
      <c r="H93" s="140">
        <f>SUM(H91,H79,H66,H47,H39,H36,H27,H24,H16,H9,H54,H83,H71)</f>
        <v>190311.8976</v>
      </c>
      <c r="I93" s="140">
        <f>SUM(I91,I79,I66,I47,I39,I36,I27,I24,I16,I9,I54,I83,I71)</f>
        <v>190492.00896000001</v>
      </c>
      <c r="J93" s="140">
        <f>SUM(J91,J79,J66,J47,J39,J36,J27,J24,J16,J9,J54,J83,J71)</f>
        <v>222875.65048320001</v>
      </c>
      <c r="K93" s="76"/>
      <c r="L93" s="76"/>
    </row>
    <row r="94" spans="1:12" ht="12.75" x14ac:dyDescent="0.2">
      <c r="B94" s="1" t="s">
        <v>315</v>
      </c>
      <c r="J94" s="155">
        <f>J93-J91-J83-J79-J53-J46-J27</f>
        <v>207678.75448320003</v>
      </c>
    </row>
    <row r="95" spans="1:12" ht="12.75" x14ac:dyDescent="0.2">
      <c r="B95" s="1" t="s">
        <v>316</v>
      </c>
      <c r="J95" s="155">
        <f>J91+J79+J53+J46+J27</f>
        <v>15196.896000000001</v>
      </c>
    </row>
    <row r="96" spans="1:12" ht="12.75" x14ac:dyDescent="0.2">
      <c r="B96" s="1" t="s">
        <v>57</v>
      </c>
      <c r="J96" s="155">
        <f>J83</f>
        <v>0</v>
      </c>
    </row>
  </sheetData>
  <autoFilter ref="A1:K91" xr:uid="{00000000-0009-0000-0000-000004000000}"/>
  <dataConsolidate/>
  <phoneticPr fontId="7" type="noConversion"/>
  <hyperlinks>
    <hyperlink ref="K56" location="'Budget Parameters'!A1" display="for the correct calculation see study parameters" xr:uid="{00000000-0004-0000-0400-000000000000}"/>
  </hyperlinks>
  <pageMargins left="0.70866141732283472" right="0.70866141732283472" top="0.74803149606299213" bottom="0.74803149606299213" header="0.31496062992125984" footer="0.31496062992125984"/>
  <pageSetup paperSize="9" scale="51" fitToHeight="3" orientation="landscape" r:id="rId1"/>
  <headerFooter alignWithMargins="0">
    <oddFooter>&amp;L&amp;"Arial,Cursief"&amp;8&amp;F
Copyright © 2023 by KCE Trials. All rights reserved.&amp;C&amp;"Arial,Cursief"&amp;8Page &amp;P/&amp;N&amp;R&amp;"Arial,Cursief"&amp;8&amp;A
Budget tool 6.2</oddFooter>
  </headerFooter>
  <rowBreaks count="2" manualBreakCount="2">
    <brk id="39" max="16383" man="1"/>
    <brk id="83"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28"/>
  <sheetViews>
    <sheetView zoomScaleNormal="100" workbookViewId="0"/>
  </sheetViews>
  <sheetFormatPr defaultColWidth="9.140625" defaultRowHeight="15" x14ac:dyDescent="0.25"/>
  <cols>
    <col min="1" max="1" width="32.140625" style="31" customWidth="1"/>
    <col min="2" max="2" width="11.42578125" style="31" customWidth="1"/>
    <col min="3" max="3" width="8.5703125" style="31" customWidth="1"/>
    <col min="4" max="4" width="8.42578125" style="31" customWidth="1"/>
    <col min="5" max="6" width="9.140625" style="31"/>
    <col min="7" max="7" width="13.42578125" style="31" customWidth="1"/>
    <col min="8" max="8" width="16.85546875" style="31" customWidth="1"/>
    <col min="9" max="15" width="9.140625" style="31"/>
    <col min="16" max="16" width="5.42578125" style="31" customWidth="1"/>
    <col min="17" max="19" width="9.140625" style="31" hidden="1" customWidth="1"/>
    <col min="20" max="16384" width="9.140625" style="31"/>
  </cols>
  <sheetData>
    <row r="1" spans="1:19" s="1" customFormat="1" ht="20.25" customHeight="1" thickBot="1" x14ac:dyDescent="0.3">
      <c r="A1" s="46" t="s">
        <v>23</v>
      </c>
      <c r="B1" s="47"/>
      <c r="C1" s="47" t="s">
        <v>114</v>
      </c>
      <c r="D1" s="47"/>
      <c r="E1" s="47"/>
      <c r="F1" s="47"/>
      <c r="G1" s="47"/>
      <c r="H1" s="38" t="s">
        <v>121</v>
      </c>
      <c r="O1" s="112"/>
      <c r="P1" s="112"/>
      <c r="Q1" s="112"/>
      <c r="R1" s="112"/>
      <c r="S1" s="112"/>
    </row>
    <row r="2" spans="1:19" customFormat="1" ht="15.75" customHeight="1" thickBot="1" x14ac:dyDescent="0.3">
      <c r="A2" s="28"/>
      <c r="B2" s="29"/>
      <c r="C2" s="29"/>
      <c r="D2" s="29"/>
      <c r="E2" s="29"/>
      <c r="F2" s="29"/>
      <c r="G2" s="29"/>
      <c r="H2" s="30"/>
      <c r="J2" s="31"/>
      <c r="K2" s="31"/>
      <c r="L2" s="31"/>
      <c r="M2" s="31"/>
      <c r="N2" s="31"/>
      <c r="O2" s="112"/>
      <c r="P2" s="112"/>
      <c r="Q2" s="112"/>
      <c r="R2" s="112"/>
      <c r="S2" s="112"/>
    </row>
    <row r="3" spans="1:19" s="1" customFormat="1" ht="24" customHeight="1" thickBot="1" x14ac:dyDescent="0.3">
      <c r="A3" s="46" t="s">
        <v>69</v>
      </c>
      <c r="B3" s="47"/>
      <c r="C3" s="47"/>
      <c r="D3" s="47"/>
      <c r="E3" s="47"/>
      <c r="F3" s="47"/>
      <c r="G3" s="47"/>
      <c r="H3" s="48"/>
      <c r="O3" s="112"/>
      <c r="P3" s="112"/>
      <c r="Q3" s="112"/>
      <c r="R3" s="112"/>
      <c r="S3" s="112"/>
    </row>
    <row r="4" spans="1:19" ht="56.25" x14ac:dyDescent="0.25">
      <c r="A4" s="108" t="s">
        <v>62</v>
      </c>
      <c r="B4" s="49" t="s">
        <v>263</v>
      </c>
      <c r="C4" s="49" t="s">
        <v>258</v>
      </c>
      <c r="D4" s="185" t="s">
        <v>63</v>
      </c>
      <c r="E4" s="185"/>
      <c r="F4" s="185"/>
      <c r="G4" s="49" t="s">
        <v>64</v>
      </c>
      <c r="H4" s="108" t="s">
        <v>65</v>
      </c>
      <c r="J4" s="186" t="s">
        <v>341</v>
      </c>
      <c r="K4" s="187"/>
      <c r="L4" s="187"/>
      <c r="M4" s="187"/>
      <c r="N4" s="188"/>
      <c r="O4" s="112"/>
      <c r="P4" s="112"/>
      <c r="Q4" s="112"/>
      <c r="R4" s="112"/>
      <c r="S4" s="112"/>
    </row>
    <row r="5" spans="1:19" x14ac:dyDescent="0.25">
      <c r="A5" s="50"/>
      <c r="B5" s="50"/>
      <c r="C5" s="51"/>
      <c r="D5" s="56" t="s">
        <v>66</v>
      </c>
      <c r="E5" s="56" t="s">
        <v>67</v>
      </c>
      <c r="F5" s="56" t="s">
        <v>95</v>
      </c>
      <c r="G5" s="51"/>
      <c r="H5" s="51"/>
      <c r="J5" s="189"/>
      <c r="K5" s="190"/>
      <c r="L5" s="190"/>
      <c r="M5" s="190"/>
      <c r="N5" s="191"/>
    </row>
    <row r="6" spans="1:19" ht="15.75" thickBot="1" x14ac:dyDescent="0.3">
      <c r="A6" s="57" t="s">
        <v>232</v>
      </c>
      <c r="B6" s="50"/>
      <c r="C6" s="51"/>
      <c r="D6" s="52"/>
      <c r="E6" s="52"/>
      <c r="F6" s="52"/>
      <c r="G6" s="51"/>
      <c r="H6" s="51"/>
      <c r="J6" s="192"/>
      <c r="K6" s="193"/>
      <c r="L6" s="193"/>
      <c r="M6" s="193"/>
      <c r="N6" s="194"/>
    </row>
    <row r="7" spans="1:19" x14ac:dyDescent="0.25">
      <c r="A7" s="53" t="s">
        <v>68</v>
      </c>
      <c r="B7" s="143">
        <f>'Budget Parameters'!C9*0.5</f>
        <v>56.284800000000004</v>
      </c>
      <c r="C7" s="143">
        <f>30/60*'Budget Parameters'!C17</f>
        <v>56.284800000000004</v>
      </c>
      <c r="D7" s="144"/>
      <c r="E7" s="144"/>
      <c r="F7" s="144"/>
      <c r="G7" s="144"/>
      <c r="H7" s="144"/>
    </row>
    <row r="8" spans="1:19" x14ac:dyDescent="0.25">
      <c r="A8" s="53" t="s">
        <v>162</v>
      </c>
      <c r="B8" s="143">
        <f>'Budget Parameters'!F50</f>
        <v>17.3184</v>
      </c>
      <c r="C8" s="143"/>
      <c r="D8" s="143"/>
      <c r="E8" s="143"/>
      <c r="F8" s="143"/>
      <c r="G8" s="143"/>
      <c r="H8" s="143"/>
    </row>
    <row r="9" spans="1:19" x14ac:dyDescent="0.25">
      <c r="A9" s="53" t="s">
        <v>163</v>
      </c>
      <c r="B9" s="143">
        <f>'Budget Parameters'!C17</f>
        <v>112.56960000000001</v>
      </c>
      <c r="C9" s="143">
        <f>30/60*'Budget Parameters'!C17</f>
        <v>56.284800000000004</v>
      </c>
      <c r="D9" s="143">
        <f>15/60*'Budget Parameters'!$C$17</f>
        <v>28.142400000000002</v>
      </c>
      <c r="E9" s="143">
        <f>15/60*'Budget Parameters'!$C$17</f>
        <v>28.142400000000002</v>
      </c>
      <c r="F9" s="143">
        <f>15/60*'Budget Parameters'!$C$17</f>
        <v>28.142400000000002</v>
      </c>
      <c r="G9" s="143">
        <f>15/60*'Budget Parameters'!$C$17</f>
        <v>28.142400000000002</v>
      </c>
      <c r="H9" s="143">
        <f>15/60*'Budget Parameters'!$C$17</f>
        <v>28.142400000000002</v>
      </c>
    </row>
    <row r="10" spans="1:19" x14ac:dyDescent="0.25">
      <c r="A10" s="53" t="s">
        <v>164</v>
      </c>
      <c r="B10" s="143">
        <f>'Budget Parameters'!C15</f>
        <v>50.19</v>
      </c>
      <c r="C10" s="143">
        <f>2.5*B10</f>
        <v>125.47499999999999</v>
      </c>
      <c r="D10" s="143">
        <f>2*'Budget Parameters'!$C$15</f>
        <v>100.38</v>
      </c>
      <c r="E10" s="143">
        <f>2*'Budget Parameters'!$C$15</f>
        <v>100.38</v>
      </c>
      <c r="F10" s="143">
        <f>2*'Budget Parameters'!$C$15</f>
        <v>100.38</v>
      </c>
      <c r="G10" s="143">
        <f>2*'Budget Parameters'!$C$15</f>
        <v>100.38</v>
      </c>
      <c r="H10" s="143">
        <f>2*'Budget Parameters'!$C$15</f>
        <v>100.38</v>
      </c>
    </row>
    <row r="11" spans="1:19" x14ac:dyDescent="0.25">
      <c r="A11" s="53"/>
      <c r="B11" s="143"/>
      <c r="C11" s="143"/>
      <c r="D11" s="144"/>
      <c r="E11" s="144"/>
      <c r="F11" s="144"/>
      <c r="G11" s="144"/>
      <c r="H11" s="144"/>
    </row>
    <row r="12" spans="1:19" x14ac:dyDescent="0.25">
      <c r="A12" s="154" t="s">
        <v>313</v>
      </c>
      <c r="B12" s="143"/>
      <c r="C12" s="143"/>
      <c r="D12" s="144"/>
      <c r="E12" s="144"/>
      <c r="F12" s="144"/>
      <c r="G12" s="144"/>
      <c r="H12" s="144"/>
    </row>
    <row r="13" spans="1:19" x14ac:dyDescent="0.25">
      <c r="A13" s="58" t="s">
        <v>233</v>
      </c>
      <c r="B13" s="145"/>
      <c r="C13" s="145">
        <f t="shared" ref="C13:H13" si="0">SUM(C7:C11)</f>
        <v>238.0446</v>
      </c>
      <c r="D13" s="145">
        <f t="shared" si="0"/>
        <v>128.5224</v>
      </c>
      <c r="E13" s="145">
        <f t="shared" si="0"/>
        <v>128.5224</v>
      </c>
      <c r="F13" s="145">
        <f t="shared" si="0"/>
        <v>128.5224</v>
      </c>
      <c r="G13" s="145">
        <f t="shared" si="0"/>
        <v>128.5224</v>
      </c>
      <c r="H13" s="145">
        <f t="shared" si="0"/>
        <v>128.5224</v>
      </c>
    </row>
    <row r="14" spans="1:19" x14ac:dyDescent="0.25">
      <c r="A14" s="53" t="s">
        <v>262</v>
      </c>
      <c r="B14" s="143"/>
      <c r="C14" s="145">
        <f>'Budget Parameters'!$C$22*'Site Costs'!C13</f>
        <v>23.804460000000002</v>
      </c>
      <c r="D14" s="145">
        <f>'Budget Parameters'!$C$22*'Site Costs'!D13</f>
        <v>12.852240000000002</v>
      </c>
      <c r="E14" s="145">
        <f>'Budget Parameters'!$C$22*'Site Costs'!E13</f>
        <v>12.852240000000002</v>
      </c>
      <c r="F14" s="145">
        <f>'Budget Parameters'!$C$22*'Site Costs'!F13</f>
        <v>12.852240000000002</v>
      </c>
      <c r="G14" s="145">
        <f>'Budget Parameters'!$C$22*'Site Costs'!G13</f>
        <v>12.852240000000002</v>
      </c>
      <c r="H14" s="145">
        <f>'Budget Parameters'!$C$22*'Site Costs'!H13</f>
        <v>12.852240000000002</v>
      </c>
    </row>
    <row r="15" spans="1:19" x14ac:dyDescent="0.25">
      <c r="A15" s="54" t="s">
        <v>262</v>
      </c>
      <c r="B15" s="145"/>
      <c r="C15" s="145">
        <f>SUM(C13:C14)</f>
        <v>261.84906000000001</v>
      </c>
      <c r="D15" s="145">
        <f>SUM(D13:D14)</f>
        <v>141.37464</v>
      </c>
      <c r="E15" s="145">
        <f t="shared" ref="E15:H15" si="1">SUM(E13:E14)</f>
        <v>141.37464</v>
      </c>
      <c r="F15" s="145">
        <f t="shared" si="1"/>
        <v>141.37464</v>
      </c>
      <c r="G15" s="145">
        <f t="shared" si="1"/>
        <v>141.37464</v>
      </c>
      <c r="H15" s="145">
        <f t="shared" si="1"/>
        <v>141.37464</v>
      </c>
    </row>
    <row r="16" spans="1:19" x14ac:dyDescent="0.25">
      <c r="A16" s="54" t="s">
        <v>353</v>
      </c>
      <c r="B16" s="146">
        <f>C15+D15+E15+F15+H15</f>
        <v>827.34762000000001</v>
      </c>
      <c r="C16" s="144"/>
      <c r="D16" s="144"/>
      <c r="E16" s="144"/>
      <c r="F16" s="144"/>
      <c r="G16" s="144"/>
      <c r="H16" s="144"/>
    </row>
    <row r="17" spans="1:8" x14ac:dyDescent="0.25">
      <c r="A17" s="54" t="s">
        <v>72</v>
      </c>
      <c r="B17" s="109">
        <v>0.17</v>
      </c>
      <c r="C17" s="51"/>
      <c r="D17" s="51"/>
      <c r="E17" s="51"/>
      <c r="F17" s="51"/>
      <c r="G17" s="51"/>
      <c r="H17" s="51"/>
    </row>
    <row r="18" spans="1:8" x14ac:dyDescent="0.25">
      <c r="A18" s="110" t="s">
        <v>354</v>
      </c>
      <c r="B18" s="147">
        <f>B16*(1+B17)</f>
        <v>967.99671539999997</v>
      </c>
      <c r="C18" s="51"/>
      <c r="D18" s="51"/>
      <c r="E18" s="51"/>
      <c r="F18" s="51"/>
      <c r="G18" s="51"/>
      <c r="H18" s="51"/>
    </row>
    <row r="19" spans="1:8" ht="15.75" thickBot="1" x14ac:dyDescent="0.3">
      <c r="A19" s="110" t="s">
        <v>355</v>
      </c>
      <c r="B19" s="147">
        <f>'Study Parameters'!C14*B18</f>
        <v>0</v>
      </c>
      <c r="C19" s="51"/>
      <c r="D19" s="51"/>
      <c r="E19" s="51"/>
      <c r="F19" s="51"/>
      <c r="G19" s="51"/>
      <c r="H19" s="51"/>
    </row>
    <row r="20" spans="1:8" ht="16.5" thickBot="1" x14ac:dyDescent="0.3">
      <c r="A20" s="46" t="s">
        <v>70</v>
      </c>
      <c r="B20" s="119"/>
      <c r="C20" s="47"/>
      <c r="D20" s="47"/>
      <c r="E20" s="47"/>
      <c r="F20" s="47"/>
      <c r="G20" s="47"/>
      <c r="H20" s="48"/>
    </row>
    <row r="21" spans="1:8" x14ac:dyDescent="0.25">
      <c r="A21" s="55" t="s">
        <v>14</v>
      </c>
      <c r="B21" s="111">
        <f>'Study Parameters'!C19</f>
        <v>0</v>
      </c>
      <c r="C21" s="51"/>
      <c r="D21" s="51"/>
      <c r="E21" s="51"/>
      <c r="F21" s="51"/>
      <c r="G21" s="51"/>
      <c r="H21" s="51"/>
    </row>
    <row r="22" spans="1:8" x14ac:dyDescent="0.25">
      <c r="A22" s="55" t="s">
        <v>71</v>
      </c>
      <c r="B22" s="148">
        <f>'Budget Parameters'!C28</f>
        <v>1125.6960000000001</v>
      </c>
      <c r="C22" s="51"/>
      <c r="D22" s="51"/>
      <c r="E22" s="51"/>
      <c r="F22" s="51"/>
      <c r="G22" s="51"/>
      <c r="H22" s="51"/>
    </row>
    <row r="23" spans="1:8" x14ac:dyDescent="0.25">
      <c r="A23" s="55" t="s">
        <v>53</v>
      </c>
      <c r="B23" s="148">
        <f>'Budget Parameters'!C29</f>
        <v>281.42400000000004</v>
      </c>
      <c r="C23" s="51"/>
      <c r="D23" s="51"/>
      <c r="E23" s="51"/>
      <c r="F23" s="51"/>
      <c r="G23" s="51"/>
      <c r="H23" s="51"/>
    </row>
    <row r="24" spans="1:8" x14ac:dyDescent="0.25">
      <c r="A24" s="51"/>
      <c r="B24" s="149"/>
      <c r="C24" s="51"/>
      <c r="D24" s="51"/>
      <c r="E24" s="51"/>
      <c r="F24" s="51"/>
      <c r="G24" s="51"/>
      <c r="H24" s="51"/>
    </row>
    <row r="25" spans="1:8" x14ac:dyDescent="0.25">
      <c r="A25" s="110" t="s">
        <v>96</v>
      </c>
      <c r="B25" s="147">
        <f>SUM(B22:B23)*B17+SUM(B22:B23)</f>
        <v>1646.3304000000003</v>
      </c>
      <c r="C25" s="51"/>
      <c r="D25" s="51"/>
      <c r="E25" s="51"/>
      <c r="F25" s="51"/>
      <c r="G25" s="51"/>
      <c r="H25" s="51"/>
    </row>
    <row r="26" spans="1:8" x14ac:dyDescent="0.25">
      <c r="A26" s="110" t="s">
        <v>73</v>
      </c>
      <c r="B26" s="147">
        <f>B25*B21</f>
        <v>0</v>
      </c>
      <c r="C26" s="51"/>
      <c r="D26" s="51"/>
      <c r="E26" s="51"/>
      <c r="F26" s="51"/>
      <c r="G26" s="51"/>
      <c r="H26" s="51"/>
    </row>
    <row r="27" spans="1:8" x14ac:dyDescent="0.25">
      <c r="B27" s="150"/>
    </row>
    <row r="28" spans="1:8" x14ac:dyDescent="0.25">
      <c r="A28" s="110" t="s">
        <v>356</v>
      </c>
      <c r="B28" s="120">
        <f>B26+B19</f>
        <v>0</v>
      </c>
    </row>
  </sheetData>
  <mergeCells count="2">
    <mergeCell ref="D4:F4"/>
    <mergeCell ref="J4:N6"/>
  </mergeCells>
  <dataValidations disablePrompts="1"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3" xr:uid="{00000000-0002-0000-0500-000000000000}">
      <formula1>55</formula1>
    </dataValidation>
  </dataValidations>
  <printOptions gridLines="1"/>
  <pageMargins left="0.70866141732283472" right="0.70866141732283472" top="0.74803149606299213" bottom="0.74803149606299213" header="0.31496062992125984" footer="0.31496062992125984"/>
  <pageSetup paperSize="9" scale="81" orientation="landscape" r:id="rId1"/>
  <headerFooter>
    <oddFooter>&amp;L&amp;"Arial,Cursief"&amp;8&amp;F&amp;C&amp;"Arial,Cursief"&amp;8Page &amp;P/&amp;N&amp;R&amp;"Arial,Cursief"&amp;8&amp;A
Budget tool 6.2</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3"/>
  <sheetViews>
    <sheetView topLeftCell="A19" zoomScaleNormal="100" zoomScaleSheetLayoutView="100" workbookViewId="0">
      <selection activeCell="A43" sqref="A43"/>
    </sheetView>
  </sheetViews>
  <sheetFormatPr defaultColWidth="8.7109375" defaultRowHeight="12.75" x14ac:dyDescent="0.2"/>
  <cols>
    <col min="1" max="1" width="117.42578125" style="13" customWidth="1"/>
    <col min="2" max="16384" width="8.7109375" style="13"/>
  </cols>
  <sheetData>
    <row r="1" spans="1:1" s="1" customFormat="1" ht="56.25" x14ac:dyDescent="0.2">
      <c r="A1" s="96" t="s">
        <v>195</v>
      </c>
    </row>
    <row r="2" spans="1:1" s="1" customFormat="1" ht="11.25" x14ac:dyDescent="0.2">
      <c r="A2" s="1" t="s">
        <v>194</v>
      </c>
    </row>
    <row r="3" spans="1:1" s="1" customFormat="1" ht="11.25" x14ac:dyDescent="0.2"/>
    <row r="4" spans="1:1" s="1" customFormat="1" ht="90" x14ac:dyDescent="0.2">
      <c r="A4" s="97" t="s">
        <v>202</v>
      </c>
    </row>
    <row r="5" spans="1:1" ht="45" x14ac:dyDescent="0.2">
      <c r="A5" s="97" t="s">
        <v>230</v>
      </c>
    </row>
    <row r="6" spans="1:1" ht="56.25" x14ac:dyDescent="0.2">
      <c r="A6" s="97" t="s">
        <v>236</v>
      </c>
    </row>
    <row r="7" spans="1:1" ht="123.75" x14ac:dyDescent="0.2">
      <c r="A7" s="97" t="s">
        <v>261</v>
      </c>
    </row>
    <row r="8" spans="1:1" x14ac:dyDescent="0.2">
      <c r="A8" s="97" t="s">
        <v>264</v>
      </c>
    </row>
    <row r="9" spans="1:1" ht="22.5" x14ac:dyDescent="0.2">
      <c r="A9" s="97" t="s">
        <v>268</v>
      </c>
    </row>
    <row r="10" spans="1:1" ht="22.5" x14ac:dyDescent="0.2">
      <c r="A10" s="97" t="s">
        <v>269</v>
      </c>
    </row>
    <row r="11" spans="1:1" ht="56.25" x14ac:dyDescent="0.2">
      <c r="A11" s="97" t="s">
        <v>275</v>
      </c>
    </row>
    <row r="13" spans="1:1" x14ac:dyDescent="0.2">
      <c r="A13" s="97" t="s">
        <v>335</v>
      </c>
    </row>
    <row r="14" spans="1:1" x14ac:dyDescent="0.2">
      <c r="A14" s="97" t="s">
        <v>283</v>
      </c>
    </row>
    <row r="15" spans="1:1" x14ac:dyDescent="0.2">
      <c r="A15" s="97" t="s">
        <v>284</v>
      </c>
    </row>
    <row r="16" spans="1:1" x14ac:dyDescent="0.2">
      <c r="A16" s="97" t="s">
        <v>290</v>
      </c>
    </row>
    <row r="17" spans="1:1" x14ac:dyDescent="0.2">
      <c r="A17" s="97" t="s">
        <v>322</v>
      </c>
    </row>
    <row r="18" spans="1:1" x14ac:dyDescent="0.2">
      <c r="A18" s="97" t="s">
        <v>305</v>
      </c>
    </row>
    <row r="19" spans="1:1" x14ac:dyDescent="0.2">
      <c r="A19" s="97" t="s">
        <v>323</v>
      </c>
    </row>
    <row r="20" spans="1:1" x14ac:dyDescent="0.2">
      <c r="A20" s="97" t="s">
        <v>324</v>
      </c>
    </row>
    <row r="21" spans="1:1" x14ac:dyDescent="0.2">
      <c r="A21" s="97" t="s">
        <v>325</v>
      </c>
    </row>
    <row r="22" spans="1:1" x14ac:dyDescent="0.2">
      <c r="A22" s="97" t="s">
        <v>291</v>
      </c>
    </row>
    <row r="23" spans="1:1" x14ac:dyDescent="0.2">
      <c r="A23" s="97" t="s">
        <v>326</v>
      </c>
    </row>
    <row r="24" spans="1:1" x14ac:dyDescent="0.2">
      <c r="A24" s="97" t="s">
        <v>327</v>
      </c>
    </row>
    <row r="25" spans="1:1" x14ac:dyDescent="0.2">
      <c r="A25" s="97" t="s">
        <v>308</v>
      </c>
    </row>
    <row r="26" spans="1:1" x14ac:dyDescent="0.2">
      <c r="A26" s="97" t="s">
        <v>444</v>
      </c>
    </row>
    <row r="27" spans="1:1" x14ac:dyDescent="0.2">
      <c r="A27" s="97" t="s">
        <v>329</v>
      </c>
    </row>
    <row r="28" spans="1:1" x14ac:dyDescent="0.2">
      <c r="A28" s="97" t="s">
        <v>306</v>
      </c>
    </row>
    <row r="30" spans="1:1" x14ac:dyDescent="0.2">
      <c r="A30" s="97" t="s">
        <v>336</v>
      </c>
    </row>
    <row r="31" spans="1:1" x14ac:dyDescent="0.2">
      <c r="A31" s="97" t="s">
        <v>337</v>
      </c>
    </row>
    <row r="32" spans="1:1" x14ac:dyDescent="0.2">
      <c r="A32" s="97" t="s">
        <v>342</v>
      </c>
    </row>
    <row r="33" spans="1:9" x14ac:dyDescent="0.2">
      <c r="A33" s="97" t="s">
        <v>343</v>
      </c>
    </row>
    <row r="34" spans="1:9" x14ac:dyDescent="0.2">
      <c r="A34" s="97" t="s">
        <v>362</v>
      </c>
    </row>
    <row r="35" spans="1:9" x14ac:dyDescent="0.2">
      <c r="A35" s="97" t="s">
        <v>428</v>
      </c>
    </row>
    <row r="36" spans="1:9" x14ac:dyDescent="0.2">
      <c r="A36" s="97" t="s">
        <v>366</v>
      </c>
      <c r="I36" s="158"/>
    </row>
    <row r="37" spans="1:9" x14ac:dyDescent="0.2">
      <c r="A37" s="97" t="s">
        <v>442</v>
      </c>
    </row>
    <row r="39" spans="1:9" x14ac:dyDescent="0.2">
      <c r="A39" s="97" t="s">
        <v>436</v>
      </c>
    </row>
    <row r="40" spans="1:9" x14ac:dyDescent="0.2">
      <c r="A40" s="97" t="s">
        <v>437</v>
      </c>
    </row>
    <row r="41" spans="1:9" x14ac:dyDescent="0.2">
      <c r="A41" s="97" t="s">
        <v>438</v>
      </c>
    </row>
    <row r="42" spans="1:9" x14ac:dyDescent="0.2">
      <c r="A42" s="97" t="s">
        <v>439</v>
      </c>
    </row>
    <row r="43" spans="1:9" x14ac:dyDescent="0.2">
      <c r="A43" s="97" t="s">
        <v>440</v>
      </c>
    </row>
  </sheetData>
  <pageMargins left="0.70866141732283472" right="0.70866141732283472" top="0.74803149606299213" bottom="0.74803149606299213" header="0.31496062992125984" footer="0.31496062992125984"/>
  <pageSetup paperSize="9" orientation="portrait" r:id="rId1"/>
  <headerFooter>
    <oddFooter>&amp;L&amp;"Arial,Cursief"&amp;8&amp;F&amp;C&amp;"Arial,Cursief"&amp;8&amp;A&amp;R&amp;P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FC48F32B665A4681032F5C01273A5E" ma:contentTypeVersion="6" ma:contentTypeDescription="Create a new document." ma:contentTypeScope="" ma:versionID="68ac0a94e8f3fbefb70814468095defa">
  <xsd:schema xmlns:xsd="http://www.w3.org/2001/XMLSchema" xmlns:xs="http://www.w3.org/2001/XMLSchema" xmlns:p="http://schemas.microsoft.com/office/2006/metadata/properties" xmlns:ns2="04c8f565-a047-4190-8d08-438114edf654" xmlns:ns3="44b4060f-e070-4511-aeff-5144ea3d9588" targetNamespace="http://schemas.microsoft.com/office/2006/metadata/properties" ma:root="true" ma:fieldsID="4479a6ab2daa97c3062920553f2d6a61" ns2:_="" ns3:_="">
    <xsd:import namespace="04c8f565-a047-4190-8d08-438114edf654"/>
    <xsd:import namespace="44b4060f-e070-4511-aeff-5144ea3d9588"/>
    <xsd:element name="properties">
      <xsd:complexType>
        <xsd:sequence>
          <xsd:element name="documentManagement">
            <xsd:complexType>
              <xsd:all>
                <xsd:element ref="ns2:SharedWithUsers" minOccurs="0"/>
                <xsd:element ref="ns2:SharingHintHash" minOccurs="0"/>
                <xsd:element ref="ns2:SharedWithDetails" minOccurs="0"/>
                <xsd:element ref="ns3:myxu"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c8f565-a047-4190-8d08-438114edf65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2" nillable="true" ma:displayName="Last Shared By User" ma:description="" ma:internalName="LastSharedByUser" ma:readOnly="true">
      <xsd:simpleType>
        <xsd:restriction base="dms:Note">
          <xsd:maxLength value="255"/>
        </xsd:restriction>
      </xsd:simpleType>
    </xsd:element>
    <xsd:element name="LastSharedByTime" ma:index="13"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4b4060f-e070-4511-aeff-5144ea3d9588" elementFormDefault="qualified">
    <xsd:import namespace="http://schemas.microsoft.com/office/2006/documentManagement/types"/>
    <xsd:import namespace="http://schemas.microsoft.com/office/infopath/2007/PartnerControls"/>
    <xsd:element name="myxu" ma:index="11" nillable="true" ma:displayName="Date and Time" ma:internalName="myxu">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myxu xmlns="44b4060f-e070-4511-aeff-5144ea3d9588" xsi:nil="true"/>
  </documentManagement>
</p:properties>
</file>

<file path=customXml/itemProps1.xml><?xml version="1.0" encoding="utf-8"?>
<ds:datastoreItem xmlns:ds="http://schemas.openxmlformats.org/officeDocument/2006/customXml" ds:itemID="{763A8A30-07DE-4467-888D-907A99B9BFD3}">
  <ds:schemaRefs>
    <ds:schemaRef ds:uri="http://schemas.microsoft.com/office/2006/metadata/longProperties"/>
  </ds:schemaRefs>
</ds:datastoreItem>
</file>

<file path=customXml/itemProps2.xml><?xml version="1.0" encoding="utf-8"?>
<ds:datastoreItem xmlns:ds="http://schemas.openxmlformats.org/officeDocument/2006/customXml" ds:itemID="{67EB264B-3BE9-4935-BC5D-7B74AF95ED8D}">
  <ds:schemaRefs>
    <ds:schemaRef ds:uri="http://schemas.microsoft.com/sharepoint/v3/contenttype/forms"/>
  </ds:schemaRefs>
</ds:datastoreItem>
</file>

<file path=customXml/itemProps3.xml><?xml version="1.0" encoding="utf-8"?>
<ds:datastoreItem xmlns:ds="http://schemas.openxmlformats.org/officeDocument/2006/customXml" ds:itemID="{37DA1D62-F40A-40ED-AF89-73E638462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c8f565-a047-4190-8d08-438114edf654"/>
    <ds:schemaRef ds:uri="44b4060f-e070-4511-aeff-5144ea3d9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0B035F1-5BFB-4EAA-B003-7E7147273A83}">
  <ds:schemaRefs>
    <ds:schemaRef ds:uri="http://schemas.microsoft.com/office/2006/documentManagement/types"/>
    <ds:schemaRef ds:uri="http://purl.org/dc/terms/"/>
    <ds:schemaRef ds:uri="http://schemas.openxmlformats.org/package/2006/metadata/core-properties"/>
    <ds:schemaRef ds:uri="http://purl.org/dc/elements/1.1/"/>
    <ds:schemaRef ds:uri="http://schemas.microsoft.com/office/2006/metadata/properties"/>
    <ds:schemaRef ds:uri="04c8f565-a047-4190-8d08-438114edf654"/>
    <ds:schemaRef ds:uri="http://www.w3.org/XML/1998/namespace"/>
    <ds:schemaRef ds:uri="http://schemas.microsoft.com/office/infopath/2007/PartnerControls"/>
    <ds:schemaRef ds:uri="44b4060f-e070-4511-aeff-5144ea3d9588"/>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How to complete</vt:lpstr>
      <vt:lpstr>Study Parameters</vt:lpstr>
      <vt:lpstr>Lists</vt:lpstr>
      <vt:lpstr>Budget Parameters</vt:lpstr>
      <vt:lpstr>Overall Cost</vt:lpstr>
      <vt:lpstr>Site Costs</vt:lpstr>
      <vt:lpstr>info versions</vt:lpstr>
      <vt:lpstr>'Budget Parameters'!Print_Area</vt:lpstr>
      <vt:lpstr>'How to complete'!Print_Area</vt:lpstr>
      <vt:lpstr>'Overall Cost'!Print_Area</vt:lpstr>
      <vt:lpstr>'Overall Cost'!Print_Titles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KCE Trials Budgeting Template</dc:title>
  <dc:creator>Nevens Hilde</dc:creator>
  <cp:keywords>version info hidden tab</cp:keywords>
  <dc:description>update for 2018 call</dc:description>
  <cp:lastModifiedBy>Nevens Hilde</cp:lastModifiedBy>
  <cp:lastPrinted>2023-05-12T11:56:59Z</cp:lastPrinted>
  <dcterms:created xsi:type="dcterms:W3CDTF">1999-02-17T14:07:56Z</dcterms:created>
  <dcterms:modified xsi:type="dcterms:W3CDTF">2023-05-12T11:57:23Z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haredWithUsers">
    <vt:lpwstr/>
  </property>
  <property fmtid="{D5CDD505-2E9C-101B-9397-08002B2CF9AE}" pid="3" name="ContentTypeId">
    <vt:lpwstr>0x010100B0FC48F32B665A4681032F5C01273A5E</vt:lpwstr>
  </property>
</Properties>
</file>