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S:\1.04.RCT\2020-90-RCT_Trials\04_Program\3_International\BeNeFIT_III\Website\20221024\"/>
    </mc:Choice>
  </mc:AlternateContent>
  <xr:revisionPtr revIDLastSave="0" documentId="8_{775D0E5D-1414-4D04-B356-90607F49C0CA}" xr6:coauthVersionLast="47" xr6:coauthVersionMax="47" xr10:uidLastSave="{00000000-0000-0000-0000-000000000000}"/>
  <bookViews>
    <workbookView xWindow="-28290" yWindow="4740" windowWidth="21600" windowHeight="12615" tabRatio="500" firstSheet="1" activeTab="1" xr2:uid="{00000000-000D-0000-FFFF-FFFF00000000}"/>
  </bookViews>
  <sheets>
    <sheet name="How to complete" sheetId="1" r:id="rId1"/>
    <sheet name="Study Parameters" sheetId="2" r:id="rId2"/>
    <sheet name="Lists" sheetId="3" state="hidden" r:id="rId3"/>
    <sheet name="Budget Parameters" sheetId="4" r:id="rId4"/>
    <sheet name="Sponsor Cost" sheetId="5" r:id="rId5"/>
    <sheet name="Site Costs BE" sheetId="6" r:id="rId6"/>
    <sheet name="Site Costs NL" sheetId="7" r:id="rId7"/>
    <sheet name="Application Form" sheetId="8" r:id="rId8"/>
    <sheet name="overall costs" sheetId="9" r:id="rId9"/>
    <sheet name="info versions" sheetId="10" r:id="rId10"/>
  </sheets>
  <definedNames>
    <definedName name="_xlnm._FilterDatabase" localSheetId="4" hidden="1">'Sponsor Cost'!$A$1:$I$90</definedName>
    <definedName name="_xlnm.Print_Area" localSheetId="3">'Budget Parameters'!$A$1:$F$57</definedName>
    <definedName name="_xlnm.Print_Area" localSheetId="0">'How to complete'!$A$1:$A$9</definedName>
    <definedName name="_xlnm.Print_Area" localSheetId="8">'overall costs'!$A$1:$D$11</definedName>
    <definedName name="_xlnm.Print_Area" localSheetId="4">'Sponsor Cost'!$A$1:$J$95</definedName>
    <definedName name="_xlnm.Print_Titles" localSheetId="4">'Sponsor Cost'!$1:$1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23" i="5" l="1"/>
  <c r="H4" i="5"/>
  <c r="D7" i="9"/>
  <c r="B20" i="7"/>
  <c r="H10" i="7"/>
  <c r="G10" i="7"/>
  <c r="F10" i="7"/>
  <c r="E10" i="7"/>
  <c r="D10" i="7"/>
  <c r="B10" i="7"/>
  <c r="C10" i="7" s="1"/>
  <c r="B20" i="6"/>
  <c r="H10" i="6"/>
  <c r="G10" i="6"/>
  <c r="F10" i="6"/>
  <c r="E10" i="6"/>
  <c r="D10" i="6"/>
  <c r="B10" i="6"/>
  <c r="C10" i="6" s="1"/>
  <c r="C1" i="6"/>
  <c r="N96" i="5"/>
  <c r="M96" i="5"/>
  <c r="G89" i="5"/>
  <c r="H89" i="5" s="1"/>
  <c r="F89" i="5"/>
  <c r="N88" i="5"/>
  <c r="M88" i="5"/>
  <c r="G87" i="5"/>
  <c r="H87" i="5" s="1"/>
  <c r="G86" i="5"/>
  <c r="H86" i="5" s="1"/>
  <c r="G85" i="5"/>
  <c r="G90" i="5" s="1"/>
  <c r="N82" i="5"/>
  <c r="M82" i="5"/>
  <c r="F82" i="5"/>
  <c r="N81" i="5"/>
  <c r="M81" i="5"/>
  <c r="H81" i="5"/>
  <c r="G81" i="5"/>
  <c r="N80" i="5"/>
  <c r="H80" i="5"/>
  <c r="M80" i="5" s="1"/>
  <c r="G80" i="5"/>
  <c r="N79" i="5"/>
  <c r="M79" i="5"/>
  <c r="H79" i="5"/>
  <c r="G79" i="5"/>
  <c r="N78" i="5"/>
  <c r="H78" i="5"/>
  <c r="M78" i="5" s="1"/>
  <c r="G78" i="5"/>
  <c r="N74" i="5"/>
  <c r="M74" i="5"/>
  <c r="F73" i="5"/>
  <c r="G72" i="5"/>
  <c r="F72" i="5"/>
  <c r="F69" i="5"/>
  <c r="F68" i="5"/>
  <c r="F67" i="5"/>
  <c r="F66" i="5"/>
  <c r="G66" i="5" s="1"/>
  <c r="H66" i="5" s="1"/>
  <c r="G65" i="5"/>
  <c r="H65" i="5" s="1"/>
  <c r="F65" i="5"/>
  <c r="G64" i="5"/>
  <c r="H64" i="5" s="1"/>
  <c r="F64" i="5"/>
  <c r="F63" i="5"/>
  <c r="G59" i="5"/>
  <c r="H59" i="5" s="1"/>
  <c r="F59" i="5"/>
  <c r="F58" i="5"/>
  <c r="H58" i="5" s="1"/>
  <c r="F57" i="5"/>
  <c r="G57" i="5" s="1"/>
  <c r="H56" i="5"/>
  <c r="F56" i="5"/>
  <c r="G56" i="5" s="1"/>
  <c r="G53" i="5"/>
  <c r="H53" i="5" s="1"/>
  <c r="F53" i="5"/>
  <c r="F52" i="5"/>
  <c r="G52" i="5" s="1"/>
  <c r="H52" i="5" s="1"/>
  <c r="D52" i="5"/>
  <c r="F51" i="5"/>
  <c r="F50" i="5"/>
  <c r="G50" i="5" s="1"/>
  <c r="H50" i="5" s="1"/>
  <c r="G49" i="5"/>
  <c r="H49" i="5" s="1"/>
  <c r="F49" i="5"/>
  <c r="F48" i="5"/>
  <c r="H48" i="5" s="1"/>
  <c r="F45" i="5"/>
  <c r="D45" i="5"/>
  <c r="G45" i="5" s="1"/>
  <c r="H45" i="5" s="1"/>
  <c r="F44" i="5"/>
  <c r="G44" i="5" s="1"/>
  <c r="D44" i="5"/>
  <c r="F39" i="5"/>
  <c r="F36" i="5"/>
  <c r="H35" i="5"/>
  <c r="M35" i="5" s="1"/>
  <c r="F35" i="5"/>
  <c r="H33" i="5"/>
  <c r="G33" i="5"/>
  <c r="M32" i="5"/>
  <c r="M33" i="5" s="1"/>
  <c r="H32" i="5"/>
  <c r="N32" i="5" s="1"/>
  <c r="N33" i="5" s="1"/>
  <c r="G32" i="5"/>
  <c r="F32" i="5"/>
  <c r="D29" i="5"/>
  <c r="F27" i="5"/>
  <c r="F26" i="5"/>
  <c r="F24" i="5"/>
  <c r="F23" i="5"/>
  <c r="G23" i="5" s="1"/>
  <c r="G20" i="5"/>
  <c r="H20" i="5" s="1"/>
  <c r="G19" i="5"/>
  <c r="H19" i="5" s="1"/>
  <c r="G18" i="5"/>
  <c r="H18" i="5" s="1"/>
  <c r="F17" i="5"/>
  <c r="G17" i="5" s="1"/>
  <c r="H17" i="5" s="1"/>
  <c r="D17" i="5"/>
  <c r="F16" i="5"/>
  <c r="G15" i="5"/>
  <c r="H15" i="5" s="1"/>
  <c r="F15" i="5"/>
  <c r="D15" i="5"/>
  <c r="F14" i="5"/>
  <c r="D14" i="5"/>
  <c r="G14" i="5" s="1"/>
  <c r="H14" i="5" s="1"/>
  <c r="F13" i="5"/>
  <c r="G13" i="5" s="1"/>
  <c r="H13" i="5" s="1"/>
  <c r="F12" i="5"/>
  <c r="G12" i="5" s="1"/>
  <c r="F8" i="5"/>
  <c r="F7" i="5"/>
  <c r="F6" i="5"/>
  <c r="H5" i="5"/>
  <c r="N5" i="5" s="1"/>
  <c r="F5" i="5"/>
  <c r="G5" i="5" s="1"/>
  <c r="G4" i="5"/>
  <c r="F4" i="5"/>
  <c r="C2" i="5"/>
  <c r="C57" i="4"/>
  <c r="C56" i="4"/>
  <c r="C55" i="4"/>
  <c r="C54" i="4"/>
  <c r="C53" i="4"/>
  <c r="D50" i="4"/>
  <c r="C50" i="4"/>
  <c r="D49" i="4"/>
  <c r="D48" i="4"/>
  <c r="B8" i="6" s="1"/>
  <c r="D46" i="4"/>
  <c r="C46" i="4"/>
  <c r="D45" i="4"/>
  <c r="D44" i="4"/>
  <c r="C44" i="4"/>
  <c r="D43" i="4"/>
  <c r="C43" i="4"/>
  <c r="F38" i="4"/>
  <c r="F37" i="4"/>
  <c r="E36" i="4"/>
  <c r="E35" i="4"/>
  <c r="E38" i="4" s="1"/>
  <c r="D35" i="4"/>
  <c r="D38" i="4" s="1"/>
  <c r="B29" i="4"/>
  <c r="F29" i="5" s="1"/>
  <c r="B28" i="4"/>
  <c r="F28" i="5" s="1"/>
  <c r="B27" i="4"/>
  <c r="B22" i="6" s="1"/>
  <c r="B26" i="4"/>
  <c r="B21" i="6" s="1"/>
  <c r="B19" i="4"/>
  <c r="B18" i="4"/>
  <c r="F77" i="5" s="1"/>
  <c r="G77" i="5" s="1"/>
  <c r="B17" i="4"/>
  <c r="E9" i="7" s="1"/>
  <c r="E12" i="7" s="1"/>
  <c r="B16" i="4"/>
  <c r="B14" i="4"/>
  <c r="B13" i="4"/>
  <c r="B12" i="4"/>
  <c r="B11" i="4"/>
  <c r="F40" i="5" s="1"/>
  <c r="B10" i="4"/>
  <c r="B9" i="4"/>
  <c r="B8" i="4"/>
  <c r="F25" i="5" s="1"/>
  <c r="B7" i="4"/>
  <c r="C1" i="4"/>
  <c r="D40" i="2"/>
  <c r="D38" i="2"/>
  <c r="D68" i="5" s="1"/>
  <c r="D37" i="2"/>
  <c r="D67" i="5" s="1"/>
  <c r="D36" i="2"/>
  <c r="D35" i="2"/>
  <c r="D63" i="5" s="1"/>
  <c r="G63" i="5" s="1"/>
  <c r="H63" i="5" s="1"/>
  <c r="C24" i="2"/>
  <c r="D39" i="5" s="1"/>
  <c r="G39" i="5" s="1"/>
  <c r="H39" i="5" s="1"/>
  <c r="C19" i="2"/>
  <c r="D51" i="5" s="1"/>
  <c r="D1" i="2"/>
  <c r="J2" i="5" s="1"/>
  <c r="B1" i="2"/>
  <c r="C1" i="7" s="1"/>
  <c r="D73" i="5" l="1"/>
  <c r="G73" i="5" s="1"/>
  <c r="H73" i="5" s="1"/>
  <c r="G67" i="5"/>
  <c r="H67" i="5" s="1"/>
  <c r="N86" i="5"/>
  <c r="M86" i="5"/>
  <c r="H12" i="5"/>
  <c r="N48" i="5"/>
  <c r="M48" i="5"/>
  <c r="N53" i="5"/>
  <c r="M53" i="5"/>
  <c r="N87" i="5"/>
  <c r="M87" i="5"/>
  <c r="N13" i="5"/>
  <c r="M13" i="5"/>
  <c r="N17" i="5"/>
  <c r="M17" i="5"/>
  <c r="G29" i="5"/>
  <c r="H29" i="5" s="1"/>
  <c r="G60" i="5"/>
  <c r="N64" i="5"/>
  <c r="M64" i="5"/>
  <c r="G75" i="5"/>
  <c r="N14" i="5"/>
  <c r="M14" i="5"/>
  <c r="N18" i="5"/>
  <c r="M18" i="5"/>
  <c r="N49" i="5"/>
  <c r="M49" i="5"/>
  <c r="N39" i="5"/>
  <c r="M39" i="5"/>
  <c r="E13" i="7"/>
  <c r="E14" i="7"/>
  <c r="N19" i="5"/>
  <c r="M19" i="5"/>
  <c r="N50" i="5"/>
  <c r="M50" i="5"/>
  <c r="N65" i="5"/>
  <c r="M65" i="5"/>
  <c r="H77" i="5"/>
  <c r="G83" i="5"/>
  <c r="N20" i="5"/>
  <c r="M20" i="5"/>
  <c r="G51" i="5"/>
  <c r="H51" i="5" s="1"/>
  <c r="N58" i="5"/>
  <c r="M58" i="5"/>
  <c r="N66" i="5"/>
  <c r="M66" i="5"/>
  <c r="N89" i="5"/>
  <c r="M89" i="5"/>
  <c r="N63" i="5"/>
  <c r="M63" i="5"/>
  <c r="G46" i="5"/>
  <c r="H44" i="5"/>
  <c r="B24" i="6"/>
  <c r="B25" i="6" s="1"/>
  <c r="N15" i="5"/>
  <c r="M15" i="5"/>
  <c r="M45" i="5"/>
  <c r="N45" i="5"/>
  <c r="N52" i="5"/>
  <c r="M52" i="5"/>
  <c r="N59" i="5"/>
  <c r="M59" i="5"/>
  <c r="G68" i="5"/>
  <c r="H68" i="5" s="1"/>
  <c r="N35" i="5"/>
  <c r="D40" i="5"/>
  <c r="G40" i="5" s="1"/>
  <c r="H40" i="5" s="1"/>
  <c r="M4" i="5"/>
  <c r="D16" i="5"/>
  <c r="G16" i="5" s="1"/>
  <c r="H16" i="5" s="1"/>
  <c r="N4" i="5"/>
  <c r="F9" i="5"/>
  <c r="G9" i="5" s="1"/>
  <c r="H9" i="5" s="1"/>
  <c r="D24" i="5"/>
  <c r="G24" i="5" s="1"/>
  <c r="H24" i="5" s="1"/>
  <c r="D28" i="5"/>
  <c r="G28" i="5" s="1"/>
  <c r="H28" i="5" s="1"/>
  <c r="H57" i="5"/>
  <c r="D69" i="5"/>
  <c r="G69" i="5" s="1"/>
  <c r="H69" i="5" s="1"/>
  <c r="H85" i="5"/>
  <c r="C9" i="6"/>
  <c r="F9" i="7"/>
  <c r="F12" i="7" s="1"/>
  <c r="B21" i="7"/>
  <c r="B24" i="7" s="1"/>
  <c r="B25" i="7" s="1"/>
  <c r="D38" i="5"/>
  <c r="D62" i="5"/>
  <c r="D9" i="6"/>
  <c r="D12" i="6" s="1"/>
  <c r="B7" i="7"/>
  <c r="G9" i="7"/>
  <c r="G12" i="7" s="1"/>
  <c r="B22" i="7"/>
  <c r="E1" i="4"/>
  <c r="D8" i="5"/>
  <c r="G8" i="5" s="1"/>
  <c r="H8" i="5" s="1"/>
  <c r="D27" i="5"/>
  <c r="G27" i="5" s="1"/>
  <c r="H27" i="5" s="1"/>
  <c r="G35" i="5"/>
  <c r="F38" i="5"/>
  <c r="G38" i="5" s="1"/>
  <c r="H38" i="5" s="1"/>
  <c r="F62" i="5"/>
  <c r="E9" i="6"/>
  <c r="E12" i="6" s="1"/>
  <c r="C7" i="7"/>
  <c r="H9" i="7"/>
  <c r="H12" i="7" s="1"/>
  <c r="F9" i="6"/>
  <c r="F12" i="6" s="1"/>
  <c r="B8" i="7"/>
  <c r="D41" i="5"/>
  <c r="M5" i="5"/>
  <c r="D7" i="5"/>
  <c r="G7" i="5" s="1"/>
  <c r="H7" i="5" s="1"/>
  <c r="D26" i="5"/>
  <c r="G26" i="5" s="1"/>
  <c r="H26" i="5" s="1"/>
  <c r="F37" i="5"/>
  <c r="G37" i="5" s="1"/>
  <c r="H37" i="5" s="1"/>
  <c r="F41" i="5"/>
  <c r="M56" i="5"/>
  <c r="G58" i="5"/>
  <c r="H72" i="5"/>
  <c r="B7" i="6"/>
  <c r="G9" i="6"/>
  <c r="G12" i="6" s="1"/>
  <c r="B9" i="7"/>
  <c r="N56" i="5"/>
  <c r="C7" i="6"/>
  <c r="C12" i="6" s="1"/>
  <c r="H9" i="6"/>
  <c r="H12" i="6" s="1"/>
  <c r="C9" i="7"/>
  <c r="D6" i="5"/>
  <c r="G6" i="5" s="1"/>
  <c r="D25" i="5"/>
  <c r="G25" i="5" s="1"/>
  <c r="H25" i="5" s="1"/>
  <c r="D36" i="5"/>
  <c r="G36" i="5" s="1"/>
  <c r="H36" i="5" s="1"/>
  <c r="G48" i="5"/>
  <c r="G54" i="5" s="1"/>
  <c r="D9" i="7"/>
  <c r="D12" i="7" s="1"/>
  <c r="B9" i="6"/>
  <c r="N36" i="5" l="1"/>
  <c r="M36" i="5"/>
  <c r="M8" i="5"/>
  <c r="N8" i="5"/>
  <c r="N69" i="5"/>
  <c r="M69" i="5"/>
  <c r="N40" i="5"/>
  <c r="M40" i="5"/>
  <c r="H6" i="5"/>
  <c r="G10" i="5"/>
  <c r="N7" i="5"/>
  <c r="M7" i="5"/>
  <c r="N28" i="5"/>
  <c r="M28" i="5"/>
  <c r="M23" i="5"/>
  <c r="M30" i="5" s="1"/>
  <c r="N23" i="5"/>
  <c r="H30" i="5"/>
  <c r="N77" i="5"/>
  <c r="N83" i="5" s="1"/>
  <c r="M77" i="5"/>
  <c r="M83" i="5" s="1"/>
  <c r="H83" i="5"/>
  <c r="M27" i="5"/>
  <c r="N27" i="5"/>
  <c r="M24" i="5"/>
  <c r="N24" i="5"/>
  <c r="N68" i="5"/>
  <c r="M68" i="5"/>
  <c r="G30" i="5"/>
  <c r="N29" i="5"/>
  <c r="M29" i="5"/>
  <c r="N38" i="5"/>
  <c r="M38" i="5"/>
  <c r="N57" i="5"/>
  <c r="M57" i="5"/>
  <c r="C13" i="6"/>
  <c r="C14" i="6" s="1"/>
  <c r="N9" i="5"/>
  <c r="M9" i="5"/>
  <c r="M60" i="5"/>
  <c r="H13" i="7"/>
  <c r="H14" i="7" s="1"/>
  <c r="N60" i="5"/>
  <c r="C12" i="7"/>
  <c r="F13" i="7"/>
  <c r="F14" i="7" s="1"/>
  <c r="N51" i="5"/>
  <c r="M51" i="5"/>
  <c r="H60" i="5"/>
  <c r="M54" i="5"/>
  <c r="H14" i="6"/>
  <c r="H13" i="6"/>
  <c r="F13" i="6"/>
  <c r="F14" i="6"/>
  <c r="N26" i="5"/>
  <c r="M26" i="5"/>
  <c r="E13" i="6"/>
  <c r="E14" i="6" s="1"/>
  <c r="N16" i="5"/>
  <c r="M16" i="5"/>
  <c r="N54" i="5"/>
  <c r="D13" i="6"/>
  <c r="D14" i="6" s="1"/>
  <c r="M37" i="5"/>
  <c r="N37" i="5"/>
  <c r="G13" i="6"/>
  <c r="G14" i="6" s="1"/>
  <c r="G62" i="5"/>
  <c r="G13" i="7"/>
  <c r="G14" i="7" s="1"/>
  <c r="H90" i="5"/>
  <c r="N85" i="5"/>
  <c r="M85" i="5"/>
  <c r="H46" i="5"/>
  <c r="N44" i="5"/>
  <c r="N46" i="5" s="1"/>
  <c r="M44" i="5"/>
  <c r="M46" i="5" s="1"/>
  <c r="H54" i="5"/>
  <c r="N67" i="5"/>
  <c r="M67" i="5"/>
  <c r="N72" i="5"/>
  <c r="M72" i="5"/>
  <c r="M75" i="5" s="1"/>
  <c r="H75" i="5"/>
  <c r="M12" i="5"/>
  <c r="M21" i="5" s="1"/>
  <c r="H21" i="5"/>
  <c r="N12" i="5"/>
  <c r="N21" i="5" s="1"/>
  <c r="G41" i="5"/>
  <c r="H41" i="5" s="1"/>
  <c r="D13" i="7"/>
  <c r="D14" i="7" s="1"/>
  <c r="N25" i="5"/>
  <c r="M25" i="5"/>
  <c r="G21" i="5"/>
  <c r="N73" i="5"/>
  <c r="M73" i="5"/>
  <c r="B15" i="6" l="1"/>
  <c r="B17" i="6" s="1"/>
  <c r="B18" i="6" s="1"/>
  <c r="B27" i="6" s="1"/>
  <c r="G70" i="5"/>
  <c r="G92" i="5" s="1"/>
  <c r="H62" i="5"/>
  <c r="H95" i="5"/>
  <c r="N75" i="5"/>
  <c r="C15" i="8"/>
  <c r="M90" i="5"/>
  <c r="C13" i="7"/>
  <c r="C14" i="7" s="1"/>
  <c r="B15" i="7" s="1"/>
  <c r="B17" i="7" s="1"/>
  <c r="B18" i="7" s="1"/>
  <c r="B27" i="7" s="1"/>
  <c r="C6" i="9" s="1"/>
  <c r="D6" i="9" s="1"/>
  <c r="C14" i="8"/>
  <c r="M41" i="5"/>
  <c r="M42" i="5" s="1"/>
  <c r="N41" i="5"/>
  <c r="N42" i="5" s="1"/>
  <c r="D15" i="8"/>
  <c r="N90" i="5"/>
  <c r="D14" i="8"/>
  <c r="H42" i="5"/>
  <c r="G42" i="5"/>
  <c r="N6" i="5"/>
  <c r="N10" i="5" s="1"/>
  <c r="M6" i="5"/>
  <c r="M10" i="5" s="1"/>
  <c r="H10" i="5"/>
  <c r="N30" i="5"/>
  <c r="C13" i="8" l="1"/>
  <c r="M92" i="5"/>
  <c r="N94" i="5"/>
  <c r="C3" i="9" s="1"/>
  <c r="C8" i="9" s="1"/>
  <c r="D13" i="8"/>
  <c r="H94" i="5"/>
  <c r="H70" i="5"/>
  <c r="H92" i="5" s="1"/>
  <c r="N62" i="5"/>
  <c r="N70" i="5" s="1"/>
  <c r="N92" i="5" s="1"/>
  <c r="M62" i="5"/>
  <c r="M70" i="5" s="1"/>
  <c r="M94" i="5" s="1"/>
  <c r="B3" i="9" s="1"/>
  <c r="N95" i="5"/>
  <c r="C4" i="9" s="1"/>
  <c r="B5" i="9"/>
  <c r="D5" i="9" s="1"/>
  <c r="H96" i="5"/>
  <c r="M95" i="5"/>
  <c r="B4" i="9" s="1"/>
  <c r="B8" i="9" l="1"/>
  <c r="D3" i="9"/>
  <c r="D8" i="9" s="1"/>
  <c r="C9" i="8"/>
  <c r="C18" i="8" s="1"/>
  <c r="C6" i="8"/>
  <c r="D17" i="8" s="1"/>
  <c r="C5" i="8"/>
  <c r="C17" i="8" s="1"/>
  <c r="C10" i="8"/>
  <c r="D18"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1" authorId="0" shapeId="0" xr:uid="{00000000-0006-0000-0100-000002000000}">
      <text>
        <r>
          <rPr>
            <sz val="9"/>
            <color rgb="FF000000"/>
            <rFont val="Tahoma"/>
            <family val="2"/>
            <charset val="1"/>
          </rPr>
          <t xml:space="preserve">
will be completed automatically</t>
        </r>
      </text>
    </comment>
    <comment ref="B47" authorId="0" shapeId="0" xr:uid="{00000000-0006-0000-0100-000001000000}">
      <text>
        <r>
          <rPr>
            <sz val="9"/>
            <color rgb="FF000000"/>
            <rFont val="Tahoma"/>
            <family val="2"/>
            <charset val="1"/>
          </rPr>
          <t xml:space="preserve">Complexity level 1
- IMP or device can be used prescription based or purchased without further requirements
- The trial involves only 1 or 2 sites
- This level is to be used for proof of concept or pilot studies
Complexity level 2
- IMP or device can be used prescription based or purchased without further requirements (eg no kit number allocation);
- No extensive training programme for implementation of a new technique required (Training in the study protocol and study procedures do not qualify as intensive training)
Complexity level 3
- Manufacturing/purchasing/labelling* of study medication/placebo that has a marketing authorisation in Europe and is used within the label or off-label with provided this is established practice and supported by sufficient published evidence and/or guidelines
- Manufacturing/purchasing/labelling* of a class I or IIa medical device that is CE marked
- New (surgical, diagnostic, therapeutic) technique is applied that requires an extensive training programme of the sites
*Note that if the intervention can be purchased without any further requirements regarding packaging and labelling, complexity level 2 applies. 
Complexity level 4
- Drug repurposing studies requiring manufacturing/purchasing/labelling of study medication or medication for which there is no marketing authorisation in Europe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15" authorId="0" shapeId="0" xr:uid="{00000000-0006-0000-0300-000001000000}">
      <text>
        <r>
          <rPr>
            <sz val="10"/>
            <rFont val="Arial"/>
            <charset val="1"/>
          </rPr>
          <t xml:space="preserve">Nevens Hilde:
</t>
        </r>
        <r>
          <rPr>
            <sz val="9"/>
            <color rgb="FF000000"/>
            <rFont val="Tahoma"/>
            <charset val="1"/>
          </rPr>
          <t>based on IFIC 15)</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D6" authorId="0" shapeId="0" xr:uid="{00000000-0006-0000-0400-000001000000}">
      <text>
        <r>
          <rPr>
            <sz val="9"/>
            <color rgb="FF000000"/>
            <rFont val="Tahoma"/>
            <family val="2"/>
            <charset val="1"/>
          </rPr>
          <t>adapt with planned number of on site visits</t>
        </r>
      </text>
    </comment>
    <comment ref="D7" authorId="0" shapeId="0" xr:uid="{00000000-0006-0000-0400-000002000000}">
      <text>
        <r>
          <rPr>
            <sz val="9"/>
            <color rgb="FF000000"/>
            <rFont val="Tahoma"/>
            <family val="2"/>
            <charset val="1"/>
          </rPr>
          <t>adapt with planned number of remote visits</t>
        </r>
      </text>
    </comment>
    <comment ref="I57" authorId="0" shapeId="0" xr:uid="{00000000-0006-0000-0400-000003000000}">
      <text>
        <r>
          <rPr>
            <sz val="10"/>
            <rFont val="Arial"/>
            <charset val="1"/>
          </rPr>
          <t>[Threaded comment]
Your version of Excel allows you to read this threaded comment; however, any edits to it will get removed if the file is opened in a newer version of Excel. Learn more: https://go.microsoft.com/fwlink/?linkid=870924
Comment:
    in BeNeFIT2 didn't we add an amount to the FX to make it 41.6K but say it included the HE analysis for ZonMw? I have the same amount as you have here.</t>
        </r>
      </text>
    </comment>
  </commentList>
</comments>
</file>

<file path=xl/sharedStrings.xml><?xml version="1.0" encoding="utf-8"?>
<sst xmlns="http://schemas.openxmlformats.org/spreadsheetml/2006/main" count="563" uniqueCount="420">
  <si>
    <r>
      <rPr>
        <b/>
        <sz val="10"/>
        <color rgb="FFFF0000"/>
        <rFont val="Arial"/>
        <family val="2"/>
        <charset val="1"/>
      </rPr>
      <t xml:space="preserve">This excel sheet should be read together with the guidance notes which give more detailed information and practical examples.
</t>
    </r>
    <r>
      <rPr>
        <sz val="10"/>
        <rFont val="Arial"/>
        <family val="2"/>
        <charset val="1"/>
      </rPr>
      <t xml:space="preserve">Note that cells with data in </t>
    </r>
    <r>
      <rPr>
        <b/>
        <sz val="10"/>
        <color rgb="FF9BBB59"/>
        <rFont val="Arial"/>
        <family val="2"/>
        <charset val="1"/>
      </rPr>
      <t>green</t>
    </r>
    <r>
      <rPr>
        <sz val="10"/>
        <rFont val="Arial"/>
        <family val="2"/>
        <charset val="1"/>
      </rPr>
      <t xml:space="preserve"> contain formulas and should not be changed as they automatically calculate a total based on data entered in other cells (yellow cells) unless there are project-specfic changes required. In this case, explain in column O
</t>
    </r>
  </si>
  <si>
    <r>
      <rPr>
        <b/>
        <sz val="10"/>
        <rFont val="Wingdings"/>
        <charset val="2"/>
      </rPr>
      <t>0</t>
    </r>
    <r>
      <rPr>
        <b/>
        <sz val="10"/>
        <rFont val="Arial"/>
        <family val="2"/>
        <charset val="1"/>
      </rPr>
      <t xml:space="preserve"> Tab study parameters
</t>
    </r>
    <r>
      <rPr>
        <sz val="10"/>
        <rFont val="Arial"/>
        <family val="2"/>
        <charset val="1"/>
      </rPr>
      <t xml:space="preserve">- Cells in yellow should be completed to the specifications of your trial.
- These data are linked to formulas in the other tabs. Do not remove or add lines in this tab.
</t>
    </r>
  </si>
  <si>
    <r>
      <rPr>
        <b/>
        <sz val="10"/>
        <rFont val="Wingdings"/>
        <charset val="2"/>
      </rPr>
      <t>0</t>
    </r>
    <r>
      <rPr>
        <b/>
        <sz val="10"/>
        <rFont val="Arial"/>
        <family val="2"/>
        <charset val="1"/>
      </rPr>
      <t xml:space="preserve"> Tab budget parameters
</t>
    </r>
    <r>
      <rPr>
        <sz val="10"/>
        <rFont val="Arial"/>
        <family val="2"/>
        <charset val="1"/>
      </rPr>
      <t>- This tab contains the costs for the personnel involved in the trial
- These values should not be changed without the prior agreement ZonMw/KCE</t>
    </r>
  </si>
  <si>
    <r>
      <rPr>
        <b/>
        <sz val="10"/>
        <rFont val="Wingdings"/>
        <charset val="2"/>
      </rPr>
      <t>0</t>
    </r>
    <r>
      <rPr>
        <b/>
        <sz val="10"/>
        <rFont val="Arial"/>
        <family val="2"/>
        <charset val="1"/>
      </rPr>
      <t xml:space="preserve"> Tab Sponsor costs
</t>
    </r>
    <r>
      <rPr>
        <sz val="10"/>
        <rFont val="Arial"/>
        <family val="2"/>
        <charset val="1"/>
      </rPr>
      <t>- This tab needs to be completed with the estimated budget for the whole trial. For some of the activities, a fixed amount is proposed based on the above mentioned rates and real time estimations. In other cases cells needs to be completed if no link to the study parameters tab exists - carefully check formulas and guidelines
- In the case of a fixed amount (FX) the margin is already included.</t>
    </r>
  </si>
  <si>
    <r>
      <rPr>
        <b/>
        <sz val="10"/>
        <rFont val="Wingdings"/>
        <charset val="2"/>
      </rPr>
      <t>0</t>
    </r>
    <r>
      <rPr>
        <b/>
        <sz val="10"/>
        <rFont val="Arial"/>
        <family val="2"/>
        <charset val="1"/>
      </rPr>
      <t xml:space="preserve"> Tabs site costs BE / Site Costs NL
</t>
    </r>
    <r>
      <rPr>
        <sz val="10"/>
        <rFont val="Arial"/>
        <family val="2"/>
        <charset val="1"/>
      </rPr>
      <t>- This tab can be completed with the estimated budget per study visit for the participating sites (which should be consistent with the table of trial visits and procedures in the protocol).
- The current lay-out is generic and should be made study specific.</t>
    </r>
  </si>
  <si>
    <t>Copyright © 2022 by KCE Trials. All rights reserved.
The budget tool and guidelines are developed by KCE Trials. If you wish to use this budget tool outside the KCE Trials Programme or the BeNeFIT call, you should contact trials@kce.fgov.be.
Tell us how and why you wish to use the tool. Please include your contact details: name, institution/company, address, telephone number, and email.</t>
  </si>
  <si>
    <t>BeNeFIT Trial</t>
  </si>
  <si>
    <t>Note that the information in this sheet should reflect the most recent version of the protocol - in case of discrepancies, the protocol will prevail</t>
  </si>
  <si>
    <t>Study Parameters</t>
  </si>
  <si>
    <t>Study Title</t>
  </si>
  <si>
    <t xml:space="preserve">BeNeFIT Reference Number </t>
  </si>
  <si>
    <t>Number</t>
  </si>
  <si>
    <t xml:space="preserve"> (assigned when selected)</t>
  </si>
  <si>
    <t>Protocol version</t>
  </si>
  <si>
    <t>Budget version date</t>
  </si>
  <si>
    <t>DD/MM/YYYY</t>
  </si>
  <si>
    <t>Number of subjects</t>
  </si>
  <si>
    <t>Number of subjects screened BE</t>
  </si>
  <si>
    <t>Number of subjects screened NL</t>
  </si>
  <si>
    <t>Number of subjects randomised BE</t>
  </si>
  <si>
    <t>Number of subjects randomised NL</t>
  </si>
  <si>
    <t>Number of subjects completing BE</t>
  </si>
  <si>
    <t>Number of subjects completing NL</t>
  </si>
  <si>
    <t>Total number of subjects randomised</t>
  </si>
  <si>
    <t>Number of visits per subject</t>
  </si>
  <si>
    <t xml:space="preserve"> </t>
  </si>
  <si>
    <t>Number of sites BE</t>
  </si>
  <si>
    <t>Number of sites NL</t>
  </si>
  <si>
    <t>Total number of sites</t>
  </si>
  <si>
    <t>Trial with GPs</t>
  </si>
  <si>
    <t xml:space="preserve"> (select from list)</t>
  </si>
  <si>
    <r>
      <rPr>
        <b/>
        <sz val="10"/>
        <rFont val="Arial"/>
        <family val="2"/>
        <charset val="1"/>
      </rPr>
      <t xml:space="preserve">Trial with
</t>
    </r>
    <r>
      <rPr>
        <sz val="10"/>
        <rFont val="Arial"/>
        <family val="2"/>
        <charset val="1"/>
      </rPr>
      <t xml:space="preserve">- </t>
    </r>
    <r>
      <rPr>
        <b/>
        <sz val="10"/>
        <rFont val="Arial"/>
        <family val="2"/>
        <charset val="1"/>
      </rPr>
      <t>IMP</t>
    </r>
    <r>
      <rPr>
        <sz val="10"/>
        <rFont val="Arial"/>
        <family val="2"/>
        <charset val="1"/>
      </rPr>
      <t xml:space="preserve"> (Investigational Medicinal Product) or </t>
    </r>
    <r>
      <rPr>
        <b/>
        <sz val="10"/>
        <rFont val="Arial"/>
        <family val="2"/>
        <charset val="1"/>
      </rPr>
      <t>MD</t>
    </r>
    <r>
      <rPr>
        <sz val="10"/>
        <rFont val="Arial"/>
        <family val="2"/>
        <charset val="1"/>
      </rPr>
      <t xml:space="preserve"> (Medical Device) if not prescription based
- Non standard of care local lab analysis/imaging/technical assessments</t>
    </r>
  </si>
  <si>
    <t>Trial subject to Clinical Trial Regulation</t>
  </si>
  <si>
    <t>Actual Date</t>
  </si>
  <si>
    <t>Study timelines</t>
  </si>
  <si>
    <t>FPI (First Patient In)</t>
  </si>
  <si>
    <t>LPI (Last Patient In)</t>
  </si>
  <si>
    <t>LPLV (Last Patient Last Visit)</t>
  </si>
  <si>
    <t>DBL (Data Base Lock)</t>
  </si>
  <si>
    <t>CSR (Clinical Study Report)</t>
  </si>
  <si>
    <t>Total duration of the project FPI to CSR (in months):</t>
  </si>
  <si>
    <t>Total duration of the project where monitoring is needed FPI to DBL (in months)</t>
  </si>
  <si>
    <t>Total duration of the project (in years)</t>
  </si>
  <si>
    <t>Recruitment period (in months)</t>
  </si>
  <si>
    <t>Monitoring</t>
  </si>
  <si>
    <t>Planned number of on-site monitoring visits per site (for the total duration of the study)</t>
  </si>
  <si>
    <t>Planned number of remote monitoring contacts per site (for the total duration of the study)</t>
  </si>
  <si>
    <t>Planned number of monitoring visits abroad</t>
  </si>
  <si>
    <t xml:space="preserve">depending on the sponsor country this will be visits multiplied by number of sites in BE or NL and will also depend on decision of outourcing monitoring to a coordinating centre in the other country complete according to the monitoring plan) </t>
  </si>
  <si>
    <t>Expected number of SUSARs (or events requiring expedited reporting)</t>
  </si>
  <si>
    <t>DSMB to be installed</t>
  </si>
  <si>
    <t>Expected number of endpoints to be adjudicated</t>
  </si>
  <si>
    <t>General complexity level of the trial</t>
  </si>
  <si>
    <t>There are 4 complexity levels that will drive the costs of the trial; in the BeNeFIT 2 programme, all trials will be level 2 or 3. For more information, check the budget guidelines</t>
  </si>
  <si>
    <t>cells in yellow are to be completed</t>
  </si>
  <si>
    <t>List</t>
  </si>
  <si>
    <t>value</t>
  </si>
  <si>
    <t>GPs/IMP_MD/CTR</t>
  </si>
  <si>
    <t>yes</t>
  </si>
  <si>
    <t>no</t>
  </si>
  <si>
    <t>Complexity level</t>
  </si>
  <si>
    <t>BeNeFIT trial</t>
  </si>
  <si>
    <t>Scroll down for indication for budget for Project Management, Pharmacy Fees and Lab fees</t>
  </si>
  <si>
    <t>Budget Parameters</t>
  </si>
  <si>
    <t>Index (01/06/2022)</t>
  </si>
  <si>
    <t>Study team involved</t>
  </si>
  <si>
    <t>Position</t>
  </si>
  <si>
    <t>Hourly rate (based on index 01/06/2022)</t>
  </si>
  <si>
    <t>PM</t>
  </si>
  <si>
    <t>Project Manager</t>
  </si>
  <si>
    <t>CRA</t>
  </si>
  <si>
    <t>Clinical Research Associate</t>
  </si>
  <si>
    <t>CI</t>
  </si>
  <si>
    <t>Chief Investigator</t>
  </si>
  <si>
    <t>Co CI</t>
  </si>
  <si>
    <t>Co-Chief Investigator</t>
  </si>
  <si>
    <t>CTA</t>
  </si>
  <si>
    <t>Clinical Trial Administrator</t>
  </si>
  <si>
    <t>Auditor</t>
  </si>
  <si>
    <t>STAT</t>
  </si>
  <si>
    <t>Statistician</t>
  </si>
  <si>
    <t>DM</t>
  </si>
  <si>
    <t>Data Manager</t>
  </si>
  <si>
    <t>SN</t>
  </si>
  <si>
    <t>Study Nurse</t>
  </si>
  <si>
    <t>HE</t>
  </si>
  <si>
    <t>Health Economist</t>
  </si>
  <si>
    <t>PI</t>
  </si>
  <si>
    <t>Principal Investigator</t>
  </si>
  <si>
    <t>Pharm</t>
  </si>
  <si>
    <t>Pharmacist</t>
  </si>
  <si>
    <t>PI nonMD</t>
  </si>
  <si>
    <t>Principal Investigator non MD</t>
  </si>
  <si>
    <t>Add other roles if relevant</t>
  </si>
  <si>
    <t>Other budget relevant info</t>
  </si>
  <si>
    <t>Margin (in %) if applicable:</t>
  </si>
  <si>
    <t>Overhead (in %) if applicable:</t>
  </si>
  <si>
    <t>NA</t>
  </si>
  <si>
    <t>VAT (in %) on services if applicable</t>
  </si>
  <si>
    <t>VAT (in %) on IMP if applicable</t>
  </si>
  <si>
    <t>START UP</t>
  </si>
  <si>
    <t>per site</t>
  </si>
  <si>
    <t>this is an example for medium complexity study in a hospital setting
to be adapted according to training requirement, team involved (eg. 200€ for GP)</t>
  </si>
  <si>
    <t>Archiving</t>
  </si>
  <si>
    <t>per box</t>
  </si>
  <si>
    <t>1 box per site depending on number of patients</t>
  </si>
  <si>
    <t>Transportation fee</t>
  </si>
  <si>
    <t>fee to cover transportation costs for monitoring visits, inlcudes any margin - overhead not applicable</t>
  </si>
  <si>
    <t>Travel cost for monitoring abroad (including any overnight stay - max 300€/visit)</t>
  </si>
  <si>
    <t>Travel costs if monitoring visits are scheduled abroad (this is not the standard practice expected)</t>
  </si>
  <si>
    <t>How to calculate the PM time</t>
  </si>
  <si>
    <t>Example for basic trial with 15 sites</t>
  </si>
  <si>
    <t>Example for basic trial with 30 sites</t>
  </si>
  <si>
    <t>Example for a GP trial with 100 sites</t>
  </si>
  <si>
    <r>
      <rPr>
        <sz val="10"/>
        <rFont val="Arial"/>
        <family val="2"/>
        <charset val="1"/>
      </rPr>
      <t>basis for each trial = 0,3 FTE</t>
    </r>
    <r>
      <rPr>
        <b/>
        <i/>
        <sz val="10"/>
        <rFont val="Arial"/>
        <family val="2"/>
        <charset val="1"/>
      </rPr>
      <t>*</t>
    </r>
  </si>
  <si>
    <t>* can be upgraded by 0,4 FTE in case of complex study with placebo production, extensive training programme, ... (complexity level 3)</t>
  </si>
  <si>
    <t>Per site 0,025 FTE to be added to the basis FTE up to 25 sites</t>
  </si>
  <si>
    <t>From 25 sites onwards, 0,0125 FTE for the # of sites&gt;25 to be added to the the first amount</t>
  </si>
  <si>
    <t>For GP trials, 0,00625 FTE to be added to the basis FTE per GP site</t>
  </si>
  <si>
    <t>Total FTE planned for line 9a in the tab sponsor costs for project managment tasks</t>
  </si>
  <si>
    <t>The above calculation takes into account the active study period; for long term extension this should be devided by 2 or even reduced further</t>
  </si>
  <si>
    <r>
      <rPr>
        <b/>
        <sz val="12"/>
        <rFont val="Arial"/>
        <family val="2"/>
        <charset val="1"/>
      </rPr>
      <t xml:space="preserve">KCE/ZonMW approved fees for pharmacy activities in clincial trials - </t>
    </r>
    <r>
      <rPr>
        <b/>
        <sz val="10"/>
        <rFont val="Arial"/>
        <family val="2"/>
        <charset val="1"/>
      </rPr>
      <t>to be used for site costs calculation if applicable</t>
    </r>
  </si>
  <si>
    <r>
      <rPr>
        <b/>
        <sz val="12"/>
        <color rgb="FF000000"/>
        <rFont val="Calibri"/>
        <family val="2"/>
        <charset val="1"/>
      </rPr>
      <t xml:space="preserve">transit
</t>
    </r>
    <r>
      <rPr>
        <sz val="10"/>
        <color rgb="FF000000"/>
        <rFont val="Calibri"/>
        <family val="2"/>
        <charset val="1"/>
      </rPr>
      <t>(IMP is not stored at the pharamcy but at the research department)</t>
    </r>
  </si>
  <si>
    <r>
      <rPr>
        <b/>
        <sz val="12"/>
        <color rgb="FF000000"/>
        <rFont val="Calibri"/>
        <family val="2"/>
        <charset val="1"/>
      </rPr>
      <t xml:space="preserve">at pharmacy
</t>
    </r>
    <r>
      <rPr>
        <sz val="10"/>
        <color rgb="FF000000"/>
        <rFont val="Calibri"/>
        <family val="2"/>
        <charset val="1"/>
      </rPr>
      <t>(IMP is stored at the pharmacy)</t>
    </r>
  </si>
  <si>
    <t>start-up fee (includes reading protocol, setting up file, review contract, initiation and close out) - FIX no margin</t>
  </si>
  <si>
    <t>yearly fee (to be calculated for every 12 months after initiation visit, not calendar based, includes time for follow-up and maintenance of the file, monitoring  and storage of returned medication if applicable) - FIX no margin</t>
  </si>
  <si>
    <t>storage yearly fee (to be calculated for every 12 months after initiation visit, not calendar based)  - FIX no margin</t>
  </si>
  <si>
    <t>reception, check (transfer delivery if appl) -  - FIX no margin</t>
  </si>
  <si>
    <t>preparation medication</t>
  </si>
  <si>
    <t>per protocol</t>
  </si>
  <si>
    <t>individual delivery (medication / co-medication)</t>
  </si>
  <si>
    <t>individual delivery (medication / co-medication), + labelling if applicable</t>
  </si>
  <si>
    <t>extra labelling if per batch and not per individual delivery -  - FIX no margin</t>
  </si>
  <si>
    <r>
      <rPr>
        <b/>
        <sz val="12"/>
        <rFont val="Arial"/>
        <family val="2"/>
        <charset val="1"/>
      </rPr>
      <t xml:space="preserve">KCE/ZonMw approved fees for laboratory activities in clincial trials - </t>
    </r>
    <r>
      <rPr>
        <b/>
        <sz val="10"/>
        <rFont val="Arial"/>
        <family val="2"/>
        <charset val="1"/>
      </rPr>
      <t>to be used for site costs calculation if applicable</t>
    </r>
  </si>
  <si>
    <t>by lab/site</t>
  </si>
  <si>
    <t>Blood sampling and sending to lab for central analysis</t>
  </si>
  <si>
    <t>Blood sampling, processing and sending to lab for central analysis</t>
  </si>
  <si>
    <t>Storage yearly fee (to be calculated for every 12 months after initiation visit, not calendar based) - FIX no margin</t>
  </si>
  <si>
    <t>If separate batches to be sent to central lab (cost per batch)</t>
  </si>
  <si>
    <t>Units</t>
  </si>
  <si>
    <t>No. of units</t>
  </si>
  <si>
    <t>Team member</t>
  </si>
  <si>
    <t>Unit cost</t>
  </si>
  <si>
    <t>Cost (EURO)</t>
  </si>
  <si>
    <t>Margin incl</t>
  </si>
  <si>
    <t xml:space="preserve">Comments, typical values as guidance </t>
  </si>
  <si>
    <t>Additional info</t>
  </si>
  <si>
    <t>% of costs for Sponsor</t>
  </si>
  <si>
    <t>% of costs for CC</t>
  </si>
  <si>
    <t>total amount Sponsor</t>
  </si>
  <si>
    <t>total amount CC</t>
  </si>
  <si>
    <t>Comments from sponsor</t>
  </si>
  <si>
    <t>Trial</t>
  </si>
  <si>
    <t>Project Design and Set up</t>
  </si>
  <si>
    <t>1a</t>
  </si>
  <si>
    <t>• Clinical Study Protocol incl stats, economic input, any rework, meetings
• Subject Information and Consent including translations (FR, ENG, NL)
• Budget calculation
• KCE contract negotiation and status updates
• Development of Plans (Risk Assessment and Risk Management Plan, Monitoring Plan, Data Management Plan, Safety Management Plan, Communication Plan, ...)
• Amendments</t>
  </si>
  <si>
    <t>FX</t>
  </si>
  <si>
    <t>1b</t>
  </si>
  <si>
    <t>Country specific adaptations and translations</t>
  </si>
  <si>
    <t>1c</t>
  </si>
  <si>
    <t>Site selection including feasibility assessment/visit on site</t>
  </si>
  <si>
    <t>depending on IMP/lab involvement</t>
  </si>
  <si>
    <t>1d</t>
  </si>
  <si>
    <t>Site selection including feasibility assessment/visit remote</t>
  </si>
  <si>
    <t>281,42€/site for remote visit - 168,85€ for remote visit GP</t>
  </si>
  <si>
    <t>1e</t>
  </si>
  <si>
    <t>Collaborator/site contracts (set-up, negotiation and finalisation)</t>
  </si>
  <si>
    <t>1125,70€/collaborator/site - 225,14€/site if GPs - 562,85€/collaborator if no tender required
adjust formula if needed</t>
  </si>
  <si>
    <t>1f</t>
  </si>
  <si>
    <t>Develop and maintain website and recruitment materials and tools</t>
  </si>
  <si>
    <t>including hosting fee (216,48€/yr)</t>
  </si>
  <si>
    <t>SUM</t>
  </si>
  <si>
    <t>a total amount of 20 000€ will be paid as an advance payment to cover the costs for protocol development and feasibility - this amount is consequently deducted from the total amount covering section 1</t>
  </si>
  <si>
    <t>Regulatory and Ethics Review</t>
  </si>
  <si>
    <t>2a</t>
  </si>
  <si>
    <t>Initial Leading Ethics Committee submission/Competent Authorities (CTR if applicable) BE</t>
  </si>
  <si>
    <t xml:space="preserve">2b </t>
  </si>
  <si>
    <t>Initial Leading Ethics Committee submission/Competent Authorities (CTR if applicable) NL</t>
  </si>
  <si>
    <t>2c</t>
  </si>
  <si>
    <t>Initial Ethics Committee submission in participating sites/letter of Director BE</t>
  </si>
  <si>
    <t>depending on IMP trial and hospital setting</t>
  </si>
  <si>
    <t>2d</t>
  </si>
  <si>
    <t>Initial Ethics Committee submission in participating sites/lokale uitvoerbaarheid  NL</t>
  </si>
  <si>
    <t>2e</t>
  </si>
  <si>
    <t>Communication with EC &amp; authorities during the Project</t>
  </si>
  <si>
    <t>2f</t>
  </si>
  <si>
    <t>Reporting of study results in EudraCT (where appplicable)</t>
  </si>
  <si>
    <t>only for IMP trials</t>
  </si>
  <si>
    <t>2g</t>
  </si>
  <si>
    <t>Subject Insurance BE</t>
  </si>
  <si>
    <t>indicate the fee and provide evidence for cost</t>
  </si>
  <si>
    <t>2h</t>
  </si>
  <si>
    <t>Subject Insurance NL</t>
  </si>
  <si>
    <t>2i</t>
  </si>
  <si>
    <t>Fees for EC and Authority submission if applicable</t>
  </si>
  <si>
    <t>indicate the fees that are charged by CCMO for evaluation of protocols (NA in Belgium for academic trials)</t>
  </si>
  <si>
    <t>3a</t>
  </si>
  <si>
    <t>Study Training - CRAs</t>
  </si>
  <si>
    <t>hours</t>
  </si>
  <si>
    <t>up to 16h per CRA</t>
  </si>
  <si>
    <t>3b</t>
  </si>
  <si>
    <t>Study Initiation Visit</t>
  </si>
  <si>
    <t>8h - 20h per visit</t>
  </si>
  <si>
    <t>3c</t>
  </si>
  <si>
    <t>Study Monitoring Visits</t>
  </si>
  <si>
    <t>12h - 20h per visit</t>
  </si>
  <si>
    <t>3d</t>
  </si>
  <si>
    <t>Closure Visit</t>
  </si>
  <si>
    <t>8h - 16h per visit</t>
  </si>
  <si>
    <t>3e</t>
  </si>
  <si>
    <t>Off-site monitoring and site contacts</t>
  </si>
  <si>
    <t>e.g. 3h per contact per site - but will depend on risk assessment, number of patients, number of data points - to be adapted in formula depending on study
can be performed by data manager or CRA</t>
  </si>
  <si>
    <t>3f</t>
  </si>
  <si>
    <t>fixed amount per monitoring visit margin included, no overhead</t>
  </si>
  <si>
    <t>3g</t>
  </si>
  <si>
    <t>travel costs monitoring visits abroad</t>
  </si>
  <si>
    <t>fixed cost for travel to sites or meetings - adapt with the number of meetings abroad</t>
  </si>
  <si>
    <t>Quality Assurance</t>
  </si>
  <si>
    <t>4a</t>
  </si>
  <si>
    <t>between 2 706€ and 10 824€ depending on the activities done - not part of the milestone payments - paid on performance</t>
  </si>
  <si>
    <t>TMF Handling &amp; Administration</t>
  </si>
  <si>
    <t>5a</t>
  </si>
  <si>
    <t>TMF Preparation at start</t>
  </si>
  <si>
    <t>depending on complexity and IMP</t>
  </si>
  <si>
    <t>5b</t>
  </si>
  <si>
    <t>Investigator Study File at start</t>
  </si>
  <si>
    <t>typically 4h per file</t>
  </si>
  <si>
    <t>5c</t>
  </si>
  <si>
    <t>Shipment and Distribution Services</t>
  </si>
  <si>
    <t>only occasionally applicable</t>
  </si>
  <si>
    <t>5d</t>
  </si>
  <si>
    <t>Administration and Documentation during trial</t>
  </si>
  <si>
    <t>8h -16h per site per year</t>
  </si>
  <si>
    <t>5e</t>
  </si>
  <si>
    <t>Site payment calculation</t>
  </si>
  <si>
    <t>payments</t>
  </si>
  <si>
    <t>per payment per site checked by CRA and DM, confirmed by PM, assuming 2 payments/yr</t>
  </si>
  <si>
    <t>5f</t>
  </si>
  <si>
    <t>Administration of Site Payments</t>
  </si>
  <si>
    <t>1h per site per payment, assuming 2 payments/yr - adapt if payment will be less frequent</t>
  </si>
  <si>
    <t>5g</t>
  </si>
  <si>
    <t>box</t>
  </si>
  <si>
    <t>assuming 2 boxes for the whole trial and 1 box for every 4 sites for 25 yrs archiving - adapt where applicable eg GP study</t>
  </si>
  <si>
    <t xml:space="preserve">Safety </t>
  </si>
  <si>
    <t>6a</t>
  </si>
  <si>
    <t>Follow-up of and reporting of SUSARs and events requiring expedited reporting if appl</t>
  </si>
  <si>
    <t>6b</t>
  </si>
  <si>
    <t>DSMB Meetings &amp; FU (if needed), includes time for preparation by statistician</t>
  </si>
  <si>
    <t>assuming 2 per year, if not linked to TSC</t>
  </si>
  <si>
    <t>Data Management</t>
  </si>
  <si>
    <t>7a</t>
  </si>
  <si>
    <t>• Design of eCRF including all necessary development steps and UAT
• License for eCRF software
• Design of Clinical Trial Database (including ePROs and eQoL)
• Design of the Safety Database if applicable
• Writing of the Data Management Plan
• Archiving of the database</t>
  </si>
  <si>
    <t>depending on the data complexity of the trial</t>
  </si>
  <si>
    <t>7b</t>
  </si>
  <si>
    <t>Use of electronic questionnaires, randomisation (Codes, IXRS,…), kit management and integration into eCRF or other platforms linked to the eCRF</t>
  </si>
  <si>
    <t>enter the number of  platforms communicating with the eCRF in column D if applicable - includes costs for module and integration into eCRF</t>
  </si>
  <si>
    <t>7c</t>
  </si>
  <si>
    <t>Hosting of the database</t>
  </si>
  <si>
    <t>max yearly fee if not on hopsital server; replace "0" by "1" in the formula if applicable</t>
  </si>
  <si>
    <t>7d</t>
  </si>
  <si>
    <t>• Data Coding AEs
• Data Coding Medication
• Data validation &amp; QC
• Import of data ( ECG, lab, etc.)
• Programming of queries
• Running query software, cleaning and distributing queries
• Query Resolution
• Database lock</t>
  </si>
  <si>
    <t>set at 2h per patient. Depending on complexity, IMP involvement, trials with a long term follow-up or very limited number of data points: adjust formula (see guidelines)</t>
  </si>
  <si>
    <t>7e</t>
  </si>
  <si>
    <t>Endpoint adjudication preparation (if applicable)</t>
  </si>
  <si>
    <t>2 hours per expected endpoint</t>
  </si>
  <si>
    <t>7f</t>
  </si>
  <si>
    <t>Costs for data linkage (in case national number is used to link administrative databases and study data)</t>
  </si>
  <si>
    <t xml:space="preserve">enter "1" in column D if applicable </t>
  </si>
  <si>
    <t>Statistics, report and publication</t>
  </si>
  <si>
    <t xml:space="preserve">8a </t>
  </si>
  <si>
    <t>Statistical analysis plan, randomisation and statistical programming</t>
  </si>
  <si>
    <t xml:space="preserve">8b </t>
  </si>
  <si>
    <t>• Generation of tables and listings
• Statistical analysis and report
• Clinical Study Report</t>
  </si>
  <si>
    <t>to include costs for HTA analysis</t>
  </si>
  <si>
    <t>8c</t>
  </si>
  <si>
    <t>Publication, incl revision</t>
  </si>
  <si>
    <t>8d</t>
  </si>
  <si>
    <t>Supplementary Database lock / Analysis of Long Term Follow-Up/Report</t>
  </si>
  <si>
    <t>Enter the number of additional database locks according to the agreed analysis plan in column D</t>
  </si>
  <si>
    <t>Project Management</t>
  </si>
  <si>
    <t>9a</t>
  </si>
  <si>
    <t>Project Management (not included in the above headings)</t>
  </si>
  <si>
    <t>FTE</t>
  </si>
  <si>
    <t>for the correct calculation see budget parameters, How to calculate PM time</t>
  </si>
  <si>
    <t>9b</t>
  </si>
  <si>
    <t>Liaison KCE-ZonMW and Project Status Reports</t>
  </si>
  <si>
    <t>monthly update calls</t>
  </si>
  <si>
    <t>9c</t>
  </si>
  <si>
    <t>Investigator Meeting(s), initial meeting includes time from PM, CI, STAT, CRA, CTA, other</t>
  </si>
  <si>
    <t>mtg</t>
  </si>
  <si>
    <t>for initial meeting</t>
  </si>
  <si>
    <t>9d</t>
  </si>
  <si>
    <t>Investigator Meeting(s), subsequent meeting(s)</t>
  </si>
  <si>
    <t>for subsequent meeting if relevant - detail number of meetings and rationale</t>
  </si>
  <si>
    <t>9e</t>
  </si>
  <si>
    <t>Investigator Meeting(s), results</t>
  </si>
  <si>
    <t>presentation of results</t>
  </si>
  <si>
    <t>9f</t>
  </si>
  <si>
    <t>Steering Committee meeting(s), includes time from PM, CI, STAT, EXT</t>
  </si>
  <si>
    <t>3/yr the first year, 2/yr consecutive yrs</t>
  </si>
  <si>
    <t>9g</t>
  </si>
  <si>
    <t>Study Team Meeting/Trial Management Group Meeting, included time from PM, CRA, CTA, CI</t>
  </si>
  <si>
    <t>2-weekly meetings with team during recruitment period</t>
  </si>
  <si>
    <t>9h</t>
  </si>
  <si>
    <t>monthly meetings with team during FU period</t>
  </si>
  <si>
    <t>Patient and Public Involvement</t>
  </si>
  <si>
    <t>10a</t>
  </si>
  <si>
    <t>Patient involvement in study project design and set-up</t>
  </si>
  <si>
    <t>10b</t>
  </si>
  <si>
    <t>Patient involvement in Trial Steering Committee Meetings</t>
  </si>
  <si>
    <t>2 patients to attend each TSC</t>
  </si>
  <si>
    <t>10c</t>
  </si>
  <si>
    <t>Other activities for patient involvment (if applicable)</t>
  </si>
  <si>
    <t>oth</t>
  </si>
  <si>
    <t>IMP/Intervention Handling</t>
  </si>
  <si>
    <t>11a</t>
  </si>
  <si>
    <t>IMP or intervention Accountability</t>
  </si>
  <si>
    <t>11b</t>
  </si>
  <si>
    <t>Sourcing of IMP/comparator/placebo/device (incl import license if appl)</t>
  </si>
  <si>
    <t>units</t>
  </si>
  <si>
    <t>EXT</t>
  </si>
  <si>
    <t>11c</t>
  </si>
  <si>
    <t>Storage &amp; distribution</t>
  </si>
  <si>
    <t>11d</t>
  </si>
  <si>
    <t>Packaging, blinding, labelling</t>
  </si>
  <si>
    <t>11e</t>
  </si>
  <si>
    <t>IMP destruction &amp; recovery unused products</t>
  </si>
  <si>
    <t>11f</t>
  </si>
  <si>
    <t>VAT on IMP/Intervention if applicable</t>
  </si>
  <si>
    <t>%</t>
  </si>
  <si>
    <t>only include if VAT is not deductible for your institution - otherwise delete this line</t>
  </si>
  <si>
    <t>External vendors/contractors/central review/other</t>
  </si>
  <si>
    <t>12a</t>
  </si>
  <si>
    <t>Study specific equipment</t>
  </si>
  <si>
    <t>unit</t>
  </si>
  <si>
    <t>12b</t>
  </si>
  <si>
    <t>External vendor</t>
  </si>
  <si>
    <t>hours/unit</t>
  </si>
  <si>
    <t>12c</t>
  </si>
  <si>
    <t>Central Review</t>
  </si>
  <si>
    <t>12d</t>
  </si>
  <si>
    <t xml:space="preserve">Vouchers for patients </t>
  </si>
  <si>
    <t>only include if applicable and justifiable there are travel costs or costs for inconvenience for the patient is not deductible for your institution - otherwise delete this line</t>
  </si>
  <si>
    <t>12e</t>
  </si>
  <si>
    <t>VAT on external services</t>
  </si>
  <si>
    <t>Overall Cost total excluding advance payments</t>
  </si>
  <si>
    <t>Sponsor Costs for milestones</t>
  </si>
  <si>
    <t>Based on activity or service performed</t>
  </si>
  <si>
    <t>Site Costs</t>
  </si>
  <si>
    <t>Info in this tab is a demo. 
If this tab is used, you should make it study specific and adapt the formula in line 12b, 12c and 12d of the overall costs tab!</t>
  </si>
  <si>
    <t>Per Patient Cost</t>
  </si>
  <si>
    <t>Procedure</t>
  </si>
  <si>
    <t>Budget
hourly fee - FX</t>
  </si>
  <si>
    <t>Screening/Randomisation</t>
  </si>
  <si>
    <t>Treatment Phase</t>
  </si>
  <si>
    <t>Study Treat discontinuation/ Early Termination Visit</t>
  </si>
  <si>
    <t>FU Phase</t>
  </si>
  <si>
    <t>V1</t>
  </si>
  <si>
    <t>V2</t>
  </si>
  <si>
    <t>V…</t>
  </si>
  <si>
    <t>Study specific time (not Standard of Care)</t>
  </si>
  <si>
    <t>Informed consent</t>
  </si>
  <si>
    <t>IMP or placebo dispensing  if applicable</t>
  </si>
  <si>
    <t>Physician time</t>
  </si>
  <si>
    <t>Study Coordinator time (questionnaires and data entry)</t>
  </si>
  <si>
    <t xml:space="preserve">Total </t>
  </si>
  <si>
    <t>Margin</t>
  </si>
  <si>
    <t>Cost per completed patient</t>
  </si>
  <si>
    <t>Overhead Hospital (delete if GP)</t>
  </si>
  <si>
    <t>Total cost per patient</t>
  </si>
  <si>
    <t>Total cost for all patients</t>
  </si>
  <si>
    <t>General Site Costs</t>
  </si>
  <si>
    <t>start-up fee</t>
  </si>
  <si>
    <t>Total general site costs/site</t>
  </si>
  <si>
    <t>For all sites</t>
  </si>
  <si>
    <t xml:space="preserve">Total cost (patients and general) </t>
  </si>
  <si>
    <t>At first submission RO (Research Outline)</t>
  </si>
  <si>
    <r>
      <rPr>
        <sz val="10"/>
        <rFont val="Arial"/>
        <family val="2"/>
        <charset val="1"/>
      </rPr>
      <t>Amount to enter in "</t>
    </r>
    <r>
      <rPr>
        <b/>
        <sz val="10"/>
        <rFont val="Arial"/>
        <family val="2"/>
        <charset val="1"/>
      </rPr>
      <t>5.1 Grant requested from ZonMw</t>
    </r>
    <r>
      <rPr>
        <sz val="10"/>
        <rFont val="Arial"/>
        <family val="2"/>
        <charset val="1"/>
      </rPr>
      <t>":</t>
    </r>
  </si>
  <si>
    <t>if the sponsor is in the NL:</t>
  </si>
  <si>
    <t>total amount Sponsor + Site Costs NL (incl. VAT) + advance payment</t>
  </si>
  <si>
    <t>if the sponsor is in the BE:</t>
  </si>
  <si>
    <t>total amount CC + Site Costs NL (incl. VAT)</t>
  </si>
  <si>
    <t>total amount CC + Site Costs BE (incl.VAT)</t>
  </si>
  <si>
    <t>total amount Sponsor + Site Costs BE (incl. VAT) + advance payment</t>
  </si>
  <si>
    <t>At Full Research Proposal (FRP) submission</t>
  </si>
  <si>
    <t>if NL Sponsor</t>
  </si>
  <si>
    <t>if BE Sponsor</t>
  </si>
  <si>
    <t>1.1 Personele kosten</t>
  </si>
  <si>
    <t>Personnel costs requested from ZonMw</t>
  </si>
  <si>
    <t>1.2 Materiële kosten</t>
  </si>
  <si>
    <t>Material costs requested from ZonMw</t>
  </si>
  <si>
    <t>1.3 Apparatuurkosten</t>
  </si>
  <si>
    <t>Equipment costs requested from ZonMw</t>
  </si>
  <si>
    <t>1.4 Implementatiekosten</t>
  </si>
  <si>
    <t>enter amount if applicable, implementation costs requested from ZonMw</t>
  </si>
  <si>
    <t>1.5 Overige kosten</t>
  </si>
  <si>
    <t>amount requested from ZonMw (see 5.1 above) minus 1.1:1.4</t>
  </si>
  <si>
    <t>2.1 Co-financiering</t>
  </si>
  <si>
    <t>total amount requested from KCE (see 5.4. above)</t>
  </si>
  <si>
    <t>2.2 Eigen bijdrage</t>
  </si>
  <si>
    <t>enter amount if applicable</t>
  </si>
  <si>
    <t>This tab is used for reference only to ZonMW and KCE Trials</t>
  </si>
  <si>
    <t>sponsor</t>
  </si>
  <si>
    <t>CC</t>
  </si>
  <si>
    <t>TOTAL TRIAL</t>
  </si>
  <si>
    <t>Total Sponsor costs</t>
  </si>
  <si>
    <t>Activity Based costing</t>
  </si>
  <si>
    <t>site BE</t>
  </si>
  <si>
    <t>switch cells according to where the sponsor and CC are located</t>
  </si>
  <si>
    <t>site NL</t>
  </si>
  <si>
    <t>VAT If applicable</t>
  </si>
  <si>
    <t>include VAT where applicable and non-deductible; formula to be adjusted accordingly</t>
  </si>
  <si>
    <t>TOTAL VAT inclusive (if applicable)</t>
  </si>
  <si>
    <t>2.0 version used for the first BeNeFIT call</t>
  </si>
  <si>
    <t>3.0 version to be used for BeNeFIT II call
- adjusted for advance payments
- added fee for EudraCT reporting
- wording adjusted to be in line with Regulation
- included formula automatic calculation for project management
- replaced SAE by SUSAR
- adapted for VAT situation in BE</t>
  </si>
  <si>
    <t>3.1 version to be used for BeNeFIT II call
- corrected formula in "overall costs"</t>
  </si>
  <si>
    <t xml:space="preserve">4.0 BeNeFIT 2 call - FRP stage
- indexation of prices FX and hourly fees
- march 2020 = 1,7410 versus budget tool July 2017 = 1,6406 - factor x1,04 to be applied on budget parameters and fixed amounts
- application of complexity levels that will drive costs for set-up, monitoring, project management and data management
- added adjudication if needed for endpoint evaluation
- added layer for IMP and non SoC assessments: differentiation for contracting costs, payment calculation and monitoring
- added need for DSMB
- added start-up fee for lab
- added website and promotional material
- simplified ethics and regulatory section taking into account CTR and IMP involvement
- development of monitoring plan added to the design and set-up
- added additional lines for data management, adjusted for complexity
- added costs for data linkage if needed for clinical endpoint collection (replacing data management activities)
- additional line added for additional stat analysis if required by the protocol
- changed status reporting to FX monthly fee
</t>
  </si>
  <si>
    <t>4.1 BeNeFIT 3 call
- only indexed figures kept
- adjusted fee for report allowing inclusion of health economic analysis
- added "application form" tab to facilitate completing the aims form</t>
  </si>
  <si>
    <t>This tab is only created to help you complete the application form in the "Mijn ZonMw" application form, amounts in the other tabs are considered prevailing for your project budget.</t>
  </si>
  <si>
    <r>
      <t>Amount to enter in "</t>
    </r>
    <r>
      <rPr>
        <b/>
        <sz val="10"/>
        <rFont val="Arial"/>
        <family val="2"/>
      </rPr>
      <t xml:space="preserve">5.3 Co-Financing and </t>
    </r>
    <r>
      <rPr>
        <b/>
        <sz val="10"/>
        <rFont val="Arial"/>
        <family val="2"/>
        <charset val="1"/>
      </rPr>
      <t>5.4 Notes: The amount requested from KCE (from the Budget tool)</t>
    </r>
    <r>
      <rPr>
        <sz val="10"/>
        <rFont val="Arial"/>
        <family val="2"/>
        <charset val="1"/>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</si>
</sst>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quot;€ &quot;* #,##0.00_ ;_ &quot;€ &quot;* \-#,##0.00_ ;_ &quot;€ &quot;* \-??_ ;_ @_ "/>
    <numFmt numFmtId="165" formatCode="d/mm/yy;@"/>
    <numFmt numFmtId="166" formatCode="d/mm/yyyy;@"/>
    <numFmt numFmtId="167" formatCode="0.0"/>
    <numFmt numFmtId="168" formatCode="0.0000"/>
    <numFmt numFmtId="169" formatCode="_ * #,##0.00_-\ [$€-1]_ ;_ * #,##0.00&quot;- &quot;[$€-1]_ ;_ * \-??_-\ [$€-1]_ ;_ @_ "/>
    <numFmt numFmtId="170" formatCode="#,##0.00&quot; €&quot;"/>
    <numFmt numFmtId="171" formatCode="_-* #,##0.00\ [$€-813]_-;\-* #,##0.00\ [$€-813]_-;_-* \-??\ [$€-813]_-;_-@_-"/>
    <numFmt numFmtId="172" formatCode="0.000"/>
    <numFmt numFmtId="173" formatCode="0.00000"/>
    <numFmt numFmtId="174" formatCode="&quot;€ &quot;#,##0.00"/>
    <numFmt numFmtId="175" formatCode="#,##0&quot; €&quot;"/>
  </numFmts>
  <fonts count="37" x14ac:knownFonts="1">
    <font>
      <sz val="10"/>
      <name val="Arial"/>
      <charset val="1"/>
    </font>
    <font>
      <sz val="10"/>
      <name val="Arial"/>
      <family val="2"/>
      <charset val="1"/>
    </font>
    <font>
      <sz val="11"/>
      <color rgb="FF000000"/>
      <name val="Calibri"/>
      <family val="2"/>
      <charset val="1"/>
    </font>
    <font>
      <b/>
      <sz val="10"/>
      <color rgb="FFFF0000"/>
      <name val="Arial"/>
      <family val="2"/>
      <charset val="1"/>
    </font>
    <font>
      <b/>
      <sz val="10"/>
      <color rgb="FF9BBB59"/>
      <name val="Arial"/>
      <family val="2"/>
      <charset val="1"/>
    </font>
    <font>
      <b/>
      <sz val="10"/>
      <name val="Wingdings"/>
      <charset val="2"/>
    </font>
    <font>
      <b/>
      <sz val="10"/>
      <name val="Arial"/>
      <family val="2"/>
      <charset val="1"/>
    </font>
    <font>
      <b/>
      <sz val="10"/>
      <color rgb="FFC0504D"/>
      <name val="Arial"/>
      <family val="2"/>
      <charset val="1"/>
    </font>
    <font>
      <b/>
      <sz val="12"/>
      <name val="Arial"/>
      <family val="2"/>
      <charset val="1"/>
    </font>
    <font>
      <i/>
      <sz val="8"/>
      <color rgb="FFFF0000"/>
      <name val="Arial"/>
      <family val="2"/>
      <charset val="1"/>
    </font>
    <font>
      <sz val="10"/>
      <color rgb="FF9BBB59"/>
      <name val="Arial"/>
      <family val="2"/>
      <charset val="1"/>
    </font>
    <font>
      <sz val="10"/>
      <color rgb="FFFF0000"/>
      <name val="Arial"/>
      <family val="2"/>
      <charset val="1"/>
    </font>
    <font>
      <sz val="9"/>
      <color rgb="FF000000"/>
      <name val="Tahoma"/>
      <family val="2"/>
      <charset val="1"/>
    </font>
    <font>
      <b/>
      <u/>
      <sz val="10"/>
      <name val="Arial"/>
      <family val="2"/>
      <charset val="1"/>
    </font>
    <font>
      <i/>
      <sz val="9"/>
      <name val="Arial"/>
      <family val="2"/>
      <charset val="1"/>
    </font>
    <font>
      <sz val="12"/>
      <name val="Arial"/>
      <family val="2"/>
      <charset val="1"/>
    </font>
    <font>
      <i/>
      <sz val="8"/>
      <name val="Arial"/>
      <family val="2"/>
      <charset val="1"/>
    </font>
    <font>
      <b/>
      <i/>
      <sz val="10"/>
      <name val="Arial"/>
      <family val="2"/>
      <charset val="1"/>
    </font>
    <font>
      <b/>
      <sz val="12"/>
      <color rgb="FF000000"/>
      <name val="Calibri"/>
      <family val="2"/>
      <charset val="1"/>
    </font>
    <font>
      <sz val="10"/>
      <color rgb="FF000000"/>
      <name val="Calibri"/>
      <family val="2"/>
      <charset val="1"/>
    </font>
    <font>
      <sz val="9"/>
      <color rgb="FF000000"/>
      <name val="Tahoma"/>
      <charset val="1"/>
    </font>
    <font>
      <b/>
      <sz val="8"/>
      <name val="Arial"/>
      <family val="2"/>
      <charset val="1"/>
    </font>
    <font>
      <sz val="8"/>
      <name val="Arial"/>
      <family val="2"/>
      <charset val="1"/>
    </font>
    <font>
      <b/>
      <sz val="16"/>
      <name val="Arial"/>
      <family val="2"/>
      <charset val="1"/>
    </font>
    <font>
      <b/>
      <sz val="12"/>
      <color rgb="FF000000"/>
      <name val="Arial"/>
      <family val="2"/>
      <charset val="1"/>
    </font>
    <font>
      <sz val="8"/>
      <color rgb="FFFF0000"/>
      <name val="Arial"/>
      <family val="2"/>
      <charset val="1"/>
    </font>
    <font>
      <u/>
      <sz val="10"/>
      <color rgb="FF0000FF"/>
      <name val="Arial"/>
      <family val="2"/>
      <charset val="1"/>
    </font>
    <font>
      <b/>
      <sz val="11"/>
      <color rgb="FFFF0000"/>
      <name val="Arial"/>
      <family val="2"/>
      <charset val="1"/>
    </font>
    <font>
      <b/>
      <sz val="8"/>
      <color rgb="FF000000"/>
      <name val="Arial"/>
      <family val="2"/>
      <charset val="1"/>
    </font>
    <font>
      <sz val="11"/>
      <color rgb="FF000000"/>
      <name val="Arial"/>
      <family val="2"/>
      <charset val="1"/>
    </font>
    <font>
      <sz val="8"/>
      <color rgb="FF000000"/>
      <name val="Arial"/>
      <family val="2"/>
      <charset val="1"/>
    </font>
    <font>
      <b/>
      <sz val="8"/>
      <color rgb="FFFF0000"/>
      <name val="Arial"/>
      <family val="2"/>
      <charset val="1"/>
    </font>
    <font>
      <sz val="8"/>
      <color rgb="FF000000"/>
      <name val="Calibri"/>
      <family val="2"/>
      <charset val="1"/>
    </font>
    <font>
      <i/>
      <sz val="10"/>
      <color rgb="FFFF0000"/>
      <name val="Arial"/>
      <family val="2"/>
      <charset val="1"/>
    </font>
    <font>
      <i/>
      <sz val="9"/>
      <color rgb="FFFF0000"/>
      <name val="Arial"/>
      <family val="2"/>
      <charset val="1"/>
    </font>
    <font>
      <sz val="10"/>
      <name val="Arial"/>
      <charset val="1"/>
    </font>
    <font>
      <b/>
      <sz val="10"/>
      <name val="Arial"/>
      <family val="2"/>
    </font>
  </fonts>
  <fills count="8">
    <fill>
      <patternFill patternType="none"/>
    </fill>
    <fill>
      <patternFill patternType="gray125"/>
    </fill>
    <fill>
      <patternFill patternType="solid">
        <fgColor rgb="FFCCFFCC"/>
        <bgColor rgb="FFCCFFFF"/>
      </patternFill>
    </fill>
    <fill>
      <patternFill patternType="solid">
        <fgColor rgb="FFFFFF00"/>
        <bgColor rgb="FFFFFF00"/>
      </patternFill>
    </fill>
    <fill>
      <patternFill patternType="solid">
        <fgColor rgb="FFBFBFBF"/>
        <bgColor rgb="FFA6CAF0"/>
      </patternFill>
    </fill>
    <fill>
      <patternFill patternType="solid">
        <fgColor rgb="FFA6CAF0"/>
        <bgColor rgb="FFCCCCFF"/>
      </patternFill>
    </fill>
    <fill>
      <patternFill patternType="solid">
        <fgColor rgb="FFFAC090"/>
        <bgColor rgb="FFBFBFBF"/>
      </patternFill>
    </fill>
    <fill>
      <patternFill patternType="solid">
        <fgColor rgb="FFEEECE1"/>
        <bgColor rgb="FFFFFFFF"/>
      </patternFill>
    </fill>
  </fills>
  <borders count="35">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diagonal/>
    </border>
    <border>
      <left/>
      <right/>
      <top style="thin">
        <color auto="1"/>
      </top>
      <bottom/>
      <diagonal/>
    </border>
    <border>
      <left style="medium">
        <color auto="1"/>
      </left>
      <right style="medium">
        <color auto="1"/>
      </right>
      <top/>
      <bottom style="hair">
        <color auto="1"/>
      </bottom>
      <diagonal/>
    </border>
    <border>
      <left style="medium">
        <color auto="1"/>
      </left>
      <right/>
      <top/>
      <bottom style="hair">
        <color auto="1"/>
      </bottom>
      <diagonal/>
    </border>
    <border>
      <left style="medium">
        <color auto="1"/>
      </left>
      <right style="hair">
        <color auto="1"/>
      </right>
      <top/>
      <bottom style="hair">
        <color auto="1"/>
      </bottom>
      <diagonal/>
    </border>
    <border>
      <left style="hair">
        <color auto="1"/>
      </left>
      <right/>
      <top/>
      <bottom style="hair">
        <color auto="1"/>
      </bottom>
      <diagonal/>
    </border>
    <border>
      <left style="medium">
        <color auto="1"/>
      </left>
      <right style="medium">
        <color auto="1"/>
      </right>
      <top style="thin">
        <color rgb="FF969696"/>
      </top>
      <bottom style="thin">
        <color rgb="FF969696"/>
      </bottom>
      <diagonal/>
    </border>
    <border>
      <left style="medium">
        <color auto="1"/>
      </left>
      <right style="hair">
        <color auto="1"/>
      </right>
      <top style="hair">
        <color auto="1"/>
      </top>
      <bottom style="hair">
        <color auto="1"/>
      </bottom>
      <diagonal/>
    </border>
    <border>
      <left style="hair">
        <color auto="1"/>
      </left>
      <right/>
      <top style="hair">
        <color auto="1"/>
      </top>
      <bottom style="hair">
        <color auto="1"/>
      </bottom>
      <diagonal/>
    </border>
    <border>
      <left style="medium">
        <color auto="1"/>
      </left>
      <right/>
      <top style="hair">
        <color auto="1"/>
      </top>
      <bottom style="hair">
        <color auto="1"/>
      </bottom>
      <diagonal/>
    </border>
    <border>
      <left style="medium">
        <color auto="1"/>
      </left>
      <right style="medium">
        <color auto="1"/>
      </right>
      <top style="hair">
        <color auto="1"/>
      </top>
      <bottom style="hair">
        <color auto="1"/>
      </bottom>
      <diagonal/>
    </border>
    <border>
      <left/>
      <right/>
      <top/>
      <bottom style="thin">
        <color auto="1"/>
      </bottom>
      <diagonal/>
    </border>
    <border>
      <left style="medium">
        <color auto="1"/>
      </left>
      <right style="medium">
        <color auto="1"/>
      </right>
      <top/>
      <bottom style="medium">
        <color auto="1"/>
      </bottom>
      <diagonal/>
    </border>
    <border>
      <left/>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s>
  <cellStyleXfs count="7">
    <xf numFmtId="1" fontId="0" fillId="0" borderId="0"/>
    <xf numFmtId="164" fontId="35" fillId="0" borderId="0" applyBorder="0" applyProtection="0"/>
    <xf numFmtId="9" fontId="35" fillId="0" borderId="0" applyBorder="0" applyProtection="0"/>
    <xf numFmtId="1" fontId="26" fillId="0" borderId="0" applyBorder="0" applyProtection="0"/>
    <xf numFmtId="164" fontId="35" fillId="0" borderId="0" applyBorder="0" applyProtection="0"/>
    <xf numFmtId="0" fontId="1" fillId="0" borderId="0"/>
    <xf numFmtId="0" fontId="2" fillId="0" borderId="0"/>
  </cellStyleXfs>
  <cellXfs count="191">
    <xf numFmtId="1" fontId="0" fillId="0" borderId="0" xfId="0"/>
    <xf numFmtId="1" fontId="0" fillId="0" borderId="0" xfId="0" applyAlignment="1">
      <alignment horizontal="left"/>
    </xf>
    <xf numFmtId="1" fontId="6" fillId="0" borderId="0" xfId="0" applyFont="1" applyAlignment="1">
      <alignment horizontal="left" vertical="top"/>
    </xf>
    <xf numFmtId="1" fontId="3" fillId="0" borderId="0" xfId="0" applyFont="1" applyAlignment="1">
      <alignment horizontal="left" vertical="top" wrapText="1"/>
    </xf>
    <xf numFmtId="1" fontId="5" fillId="0" borderId="0" xfId="0" applyFont="1" applyAlignment="1">
      <alignment horizontal="left" vertical="top" wrapText="1"/>
    </xf>
    <xf numFmtId="1" fontId="7" fillId="0" borderId="0" xfId="0" applyFont="1" applyAlignment="1">
      <alignment wrapText="1"/>
    </xf>
    <xf numFmtId="1" fontId="8" fillId="2" borderId="1" xfId="0" applyFont="1" applyFill="1" applyBorder="1"/>
    <xf numFmtId="1" fontId="8" fillId="2" borderId="2" xfId="0" applyFont="1" applyFill="1" applyBorder="1"/>
    <xf numFmtId="165" fontId="8" fillId="2" borderId="3" xfId="0" applyNumberFormat="1" applyFont="1" applyFill="1" applyBorder="1"/>
    <xf numFmtId="1" fontId="9" fillId="0" borderId="4" xfId="0" applyFont="1" applyBorder="1"/>
    <xf numFmtId="164" fontId="0" fillId="0" borderId="0" xfId="0" applyNumberFormat="1"/>
    <xf numFmtId="1" fontId="0" fillId="0" borderId="5" xfId="0" applyBorder="1"/>
    <xf numFmtId="164" fontId="8" fillId="2" borderId="2" xfId="0" applyNumberFormat="1" applyFont="1" applyFill="1" applyBorder="1"/>
    <xf numFmtId="1" fontId="8" fillId="2" borderId="3" xfId="0" applyFont="1" applyFill="1" applyBorder="1"/>
    <xf numFmtId="1" fontId="6" fillId="0" borderId="0" xfId="0" applyFont="1"/>
    <xf numFmtId="1" fontId="0" fillId="3" borderId="0" xfId="0" applyFill="1"/>
    <xf numFmtId="1" fontId="1" fillId="3" borderId="0" xfId="0" applyFont="1" applyFill="1"/>
    <xf numFmtId="1" fontId="9" fillId="0" borderId="0" xfId="0" applyFont="1"/>
    <xf numFmtId="1" fontId="1" fillId="0" borderId="0" xfId="0" applyFont="1"/>
    <xf numFmtId="14" fontId="1" fillId="3" borderId="0" xfId="0" applyNumberFormat="1" applyFont="1" applyFill="1"/>
    <xf numFmtId="1" fontId="10" fillId="0" borderId="0" xfId="0" applyFont="1"/>
    <xf numFmtId="1" fontId="6" fillId="0" borderId="0" xfId="0" applyFont="1" applyAlignment="1">
      <alignment wrapText="1"/>
    </xf>
    <xf numFmtId="14" fontId="0" fillId="0" borderId="0" xfId="0" applyNumberFormat="1"/>
    <xf numFmtId="166" fontId="1" fillId="3" borderId="0" xfId="0" applyNumberFormat="1" applyFont="1" applyFill="1"/>
    <xf numFmtId="166" fontId="1" fillId="3" borderId="0" xfId="0" applyNumberFormat="1" applyFont="1" applyFill="1" applyAlignment="1">
      <alignment horizontal="right"/>
    </xf>
    <xf numFmtId="0" fontId="0" fillId="0" borderId="0" xfId="0" applyNumberFormat="1"/>
    <xf numFmtId="1" fontId="1" fillId="0" borderId="0" xfId="0" applyFont="1" applyAlignment="1">
      <alignment wrapText="1"/>
    </xf>
    <xf numFmtId="167" fontId="10" fillId="0" borderId="0" xfId="0" applyNumberFormat="1" applyFont="1"/>
    <xf numFmtId="1" fontId="6" fillId="0" borderId="0" xfId="0" applyFont="1" applyAlignment="1">
      <alignment vertical="top"/>
    </xf>
    <xf numFmtId="1" fontId="0" fillId="0" borderId="0" xfId="0" applyAlignment="1">
      <alignment wrapText="1"/>
    </xf>
    <xf numFmtId="1" fontId="11" fillId="0" borderId="0" xfId="0" applyFont="1" applyAlignment="1">
      <alignment wrapText="1"/>
    </xf>
    <xf numFmtId="1" fontId="13" fillId="4" borderId="6" xfId="0" applyFont="1" applyFill="1" applyBorder="1"/>
    <xf numFmtId="1" fontId="14" fillId="0" borderId="4" xfId="0" applyFont="1" applyBorder="1"/>
    <xf numFmtId="1" fontId="15" fillId="0" borderId="0" xfId="0" applyFont="1"/>
    <xf numFmtId="1" fontId="15" fillId="0" borderId="5" xfId="0" applyFont="1" applyBorder="1"/>
    <xf numFmtId="1" fontId="8" fillId="2" borderId="7" xfId="0" applyFont="1" applyFill="1" applyBorder="1"/>
    <xf numFmtId="168" fontId="6" fillId="0" borderId="0" xfId="0" applyNumberFormat="1" applyFont="1"/>
    <xf numFmtId="169" fontId="35" fillId="0" borderId="0" xfId="1" applyNumberFormat="1" applyBorder="1" applyProtection="1"/>
    <xf numFmtId="1" fontId="16" fillId="0" borderId="0" xfId="0" applyFont="1"/>
    <xf numFmtId="170" fontId="1" fillId="0" borderId="0" xfId="1" applyNumberFormat="1" applyFont="1" applyBorder="1" applyAlignment="1" applyProtection="1">
      <alignment horizontal="right"/>
    </xf>
    <xf numFmtId="170" fontId="0" fillId="0" borderId="0" xfId="0" applyNumberFormat="1" applyAlignment="1">
      <alignment horizontal="right"/>
    </xf>
    <xf numFmtId="9" fontId="35" fillId="0" borderId="0" xfId="2" applyBorder="1" applyAlignment="1" applyProtection="1">
      <alignment horizontal="left"/>
    </xf>
    <xf numFmtId="9" fontId="1" fillId="0" borderId="0" xfId="2" applyFont="1" applyBorder="1" applyAlignment="1" applyProtection="1">
      <alignment horizontal="left"/>
    </xf>
    <xf numFmtId="170" fontId="35" fillId="0" borderId="0" xfId="1" applyNumberFormat="1" applyBorder="1" applyAlignment="1" applyProtection="1">
      <alignment horizontal="right"/>
    </xf>
    <xf numFmtId="171" fontId="35" fillId="0" borderId="0" xfId="1" applyNumberFormat="1" applyBorder="1" applyProtection="1"/>
    <xf numFmtId="172" fontId="10" fillId="0" borderId="0" xfId="0" applyNumberFormat="1" applyFont="1"/>
    <xf numFmtId="172" fontId="10" fillId="0" borderId="0" xfId="0" applyNumberFormat="1" applyFont="1" applyAlignment="1">
      <alignment horizontal="left"/>
    </xf>
    <xf numFmtId="168" fontId="0" fillId="0" borderId="0" xfId="0" applyNumberFormat="1"/>
    <xf numFmtId="173" fontId="0" fillId="0" borderId="0" xfId="0" applyNumberFormat="1"/>
    <xf numFmtId="2" fontId="4" fillId="0" borderId="0" xfId="0" applyNumberFormat="1" applyFont="1"/>
    <xf numFmtId="2" fontId="0" fillId="0" borderId="0" xfId="0" applyNumberFormat="1"/>
    <xf numFmtId="1" fontId="18" fillId="0" borderId="8" xfId="0" applyFont="1" applyBorder="1" applyAlignment="1">
      <alignment wrapText="1"/>
    </xf>
    <xf numFmtId="169" fontId="19" fillId="0" borderId="6" xfId="1" applyNumberFormat="1" applyFont="1" applyBorder="1" applyProtection="1"/>
    <xf numFmtId="1" fontId="18" fillId="0" borderId="6" xfId="0" applyFont="1" applyBorder="1"/>
    <xf numFmtId="1" fontId="21" fillId="0" borderId="0" xfId="0" applyFont="1"/>
    <xf numFmtId="1" fontId="22" fillId="0" borderId="0" xfId="0" applyFont="1"/>
    <xf numFmtId="1" fontId="22" fillId="0" borderId="0" xfId="0" applyFont="1" applyAlignment="1">
      <alignment horizontal="left"/>
    </xf>
    <xf numFmtId="1" fontId="21" fillId="0" borderId="0" xfId="0" applyFont="1" applyAlignment="1">
      <alignment horizontal="left"/>
    </xf>
    <xf numFmtId="174" fontId="21" fillId="0" borderId="0" xfId="0" applyNumberFormat="1" applyFont="1" applyAlignment="1">
      <alignment horizontal="left"/>
    </xf>
    <xf numFmtId="1" fontId="21" fillId="0" borderId="0" xfId="0" applyFont="1" applyAlignment="1">
      <alignment horizontal="left" wrapText="1"/>
    </xf>
    <xf numFmtId="1" fontId="21" fillId="0" borderId="10" xfId="0" applyFont="1" applyBorder="1" applyAlignment="1">
      <alignment horizontal="left"/>
    </xf>
    <xf numFmtId="1" fontId="21" fillId="0" borderId="11" xfId="0" applyFont="1" applyBorder="1"/>
    <xf numFmtId="1" fontId="21" fillId="0" borderId="12" xfId="0" applyFont="1" applyBorder="1" applyAlignment="1">
      <alignment horizontal="left"/>
    </xf>
    <xf numFmtId="1" fontId="6" fillId="0" borderId="13" xfId="0" applyFont="1" applyBorder="1" applyAlignment="1">
      <alignment horizontal="left" wrapText="1"/>
    </xf>
    <xf numFmtId="174" fontId="6" fillId="0" borderId="13" xfId="0" applyNumberFormat="1" applyFont="1" applyBorder="1" applyAlignment="1">
      <alignment horizontal="left" wrapText="1"/>
    </xf>
    <xf numFmtId="1" fontId="22" fillId="0" borderId="0" xfId="0" applyFont="1" applyAlignment="1">
      <alignment horizontal="right"/>
    </xf>
    <xf numFmtId="1" fontId="23" fillId="2" borderId="7" xfId="0" applyFont="1" applyFill="1" applyBorder="1"/>
    <xf numFmtId="1" fontId="23" fillId="2" borderId="1" xfId="0" applyFont="1" applyFill="1" applyBorder="1"/>
    <xf numFmtId="1" fontId="23" fillId="2" borderId="2" xfId="0" applyFont="1" applyFill="1" applyBorder="1" applyAlignment="1">
      <alignment horizontal="left"/>
    </xf>
    <xf numFmtId="174" fontId="23" fillId="2" borderId="2" xfId="0" applyNumberFormat="1" applyFont="1" applyFill="1" applyBorder="1" applyAlignment="1">
      <alignment horizontal="left"/>
    </xf>
    <xf numFmtId="166" fontId="8" fillId="2" borderId="3" xfId="0" applyNumberFormat="1" applyFont="1" applyFill="1" applyBorder="1" applyAlignment="1">
      <alignment horizontal="right" wrapText="1"/>
    </xf>
    <xf numFmtId="1" fontId="24" fillId="0" borderId="14" xfId="0" applyFont="1" applyBorder="1"/>
    <xf numFmtId="1" fontId="21" fillId="0" borderId="15" xfId="0" applyFont="1" applyBorder="1" applyAlignment="1">
      <alignment horizontal="left"/>
    </xf>
    <xf numFmtId="1" fontId="6" fillId="0" borderId="16" xfId="0" applyFont="1" applyBorder="1" applyAlignment="1">
      <alignment horizontal="left"/>
    </xf>
    <xf numFmtId="174" fontId="6" fillId="0" borderId="16" xfId="1" applyNumberFormat="1" applyFont="1" applyBorder="1" applyAlignment="1" applyProtection="1">
      <alignment horizontal="left"/>
    </xf>
    <xf numFmtId="174" fontId="6" fillId="0" borderId="16" xfId="0" applyNumberFormat="1" applyFont="1" applyBorder="1" applyAlignment="1">
      <alignment horizontal="left"/>
    </xf>
    <xf numFmtId="1" fontId="6" fillId="0" borderId="16" xfId="0" applyFont="1" applyBorder="1" applyAlignment="1">
      <alignment horizontal="left" wrapText="1"/>
    </xf>
    <xf numFmtId="1" fontId="22" fillId="0" borderId="11" xfId="0" applyFont="1" applyBorder="1" applyAlignment="1">
      <alignment wrapText="1"/>
    </xf>
    <xf numFmtId="1" fontId="22" fillId="0" borderId="15" xfId="0" applyFont="1" applyBorder="1" applyAlignment="1">
      <alignment horizontal="left"/>
    </xf>
    <xf numFmtId="1" fontId="1" fillId="0" borderId="16" xfId="0" applyFont="1" applyBorder="1" applyAlignment="1">
      <alignment horizontal="left"/>
    </xf>
    <xf numFmtId="170" fontId="10" fillId="0" borderId="16" xfId="1" applyNumberFormat="1" applyFont="1" applyBorder="1" applyAlignment="1" applyProtection="1">
      <alignment horizontal="right"/>
    </xf>
    <xf numFmtId="1" fontId="11" fillId="0" borderId="16" xfId="0" applyFont="1" applyBorder="1" applyAlignment="1">
      <alignment horizontal="left" wrapText="1"/>
    </xf>
    <xf numFmtId="9" fontId="1" fillId="0" borderId="16" xfId="2" applyFont="1" applyBorder="1" applyAlignment="1" applyProtection="1">
      <alignment horizontal="left" wrapText="1"/>
    </xf>
    <xf numFmtId="170" fontId="1" fillId="0" borderId="16" xfId="1" applyNumberFormat="1" applyFont="1" applyBorder="1" applyAlignment="1" applyProtection="1">
      <alignment horizontal="right" wrapText="1"/>
    </xf>
    <xf numFmtId="170" fontId="1" fillId="0" borderId="16" xfId="1" applyNumberFormat="1" applyFont="1" applyBorder="1" applyAlignment="1" applyProtection="1">
      <alignment horizontal="right"/>
    </xf>
    <xf numFmtId="1" fontId="22" fillId="0" borderId="11" xfId="0" applyFont="1" applyBorder="1"/>
    <xf numFmtId="1" fontId="10" fillId="0" borderId="16" xfId="0" applyFont="1" applyBorder="1" applyAlignment="1">
      <alignment horizontal="left"/>
    </xf>
    <xf numFmtId="1" fontId="1" fillId="0" borderId="16" xfId="0" applyFont="1" applyBorder="1" applyAlignment="1">
      <alignment horizontal="left" wrapText="1"/>
    </xf>
    <xf numFmtId="2" fontId="11" fillId="0" borderId="16" xfId="0" applyNumberFormat="1" applyFont="1" applyBorder="1" applyAlignment="1">
      <alignment horizontal="left" wrapText="1"/>
    </xf>
    <xf numFmtId="1" fontId="22" fillId="0" borderId="17" xfId="0" applyFont="1" applyBorder="1"/>
    <xf numFmtId="1" fontId="21" fillId="5" borderId="18" xfId="0" applyFont="1" applyFill="1" applyBorder="1"/>
    <xf numFmtId="1" fontId="21" fillId="5" borderId="17" xfId="0" applyFont="1" applyFill="1" applyBorder="1"/>
    <xf numFmtId="1" fontId="22" fillId="5" borderId="15" xfId="0" applyFont="1" applyFill="1" applyBorder="1" applyAlignment="1">
      <alignment horizontal="left"/>
    </xf>
    <xf numFmtId="1" fontId="6" fillId="5" borderId="16" xfId="0" applyFont="1" applyFill="1" applyBorder="1" applyAlignment="1">
      <alignment horizontal="left"/>
    </xf>
    <xf numFmtId="174" fontId="4" fillId="5" borderId="16" xfId="1" applyNumberFormat="1" applyFont="1" applyFill="1" applyBorder="1" applyAlignment="1" applyProtection="1">
      <alignment horizontal="left"/>
    </xf>
    <xf numFmtId="170" fontId="6" fillId="5" borderId="16" xfId="1" applyNumberFormat="1" applyFont="1" applyFill="1" applyBorder="1" applyAlignment="1" applyProtection="1">
      <alignment horizontal="right"/>
    </xf>
    <xf numFmtId="1" fontId="11" fillId="5" borderId="16" xfId="0" applyFont="1" applyFill="1" applyBorder="1" applyAlignment="1">
      <alignment horizontal="left" wrapText="1"/>
    </xf>
    <xf numFmtId="1" fontId="6" fillId="5" borderId="16" xfId="0" applyFont="1" applyFill="1" applyBorder="1" applyAlignment="1">
      <alignment horizontal="left" wrapText="1"/>
    </xf>
    <xf numFmtId="170" fontId="6" fillId="5" borderId="0" xfId="0" applyNumberFormat="1" applyFont="1" applyFill="1" applyAlignment="1">
      <alignment horizontal="right" wrapText="1"/>
    </xf>
    <xf numFmtId="174" fontId="10" fillId="0" borderId="16" xfId="1" applyNumberFormat="1" applyFont="1" applyBorder="1" applyAlignment="1" applyProtection="1">
      <alignment horizontal="left"/>
    </xf>
    <xf numFmtId="174" fontId="1" fillId="0" borderId="16" xfId="1" applyNumberFormat="1" applyFont="1" applyBorder="1" applyAlignment="1" applyProtection="1">
      <alignment horizontal="left"/>
    </xf>
    <xf numFmtId="1" fontId="21" fillId="0" borderId="18" xfId="0" applyFont="1" applyBorder="1"/>
    <xf numFmtId="1" fontId="22" fillId="0" borderId="17" xfId="0" applyFont="1" applyBorder="1" applyAlignment="1">
      <alignment wrapText="1"/>
    </xf>
    <xf numFmtId="170" fontId="4" fillId="5" borderId="16" xfId="1" applyNumberFormat="1" applyFont="1" applyFill="1" applyBorder="1" applyAlignment="1" applyProtection="1">
      <alignment horizontal="right"/>
    </xf>
    <xf numFmtId="170" fontId="4" fillId="0" borderId="16" xfId="1" applyNumberFormat="1" applyFont="1" applyBorder="1" applyAlignment="1" applyProtection="1">
      <alignment horizontal="right"/>
    </xf>
    <xf numFmtId="170" fontId="6" fillId="0" borderId="16" xfId="1" applyNumberFormat="1" applyFont="1" applyBorder="1" applyAlignment="1" applyProtection="1">
      <alignment horizontal="right"/>
    </xf>
    <xf numFmtId="170" fontId="6" fillId="5" borderId="16" xfId="0" applyNumberFormat="1" applyFont="1" applyFill="1" applyBorder="1" applyAlignment="1">
      <alignment horizontal="right" wrapText="1"/>
    </xf>
    <xf numFmtId="1" fontId="24" fillId="0" borderId="14" xfId="0" applyFont="1" applyBorder="1" applyAlignment="1">
      <alignment wrapText="1"/>
    </xf>
    <xf numFmtId="1" fontId="25" fillId="0" borderId="15" xfId="0" applyFont="1" applyBorder="1" applyAlignment="1">
      <alignment horizontal="left"/>
    </xf>
    <xf numFmtId="1" fontId="11" fillId="0" borderId="16" xfId="0" applyFont="1" applyBorder="1" applyAlignment="1">
      <alignment horizontal="left"/>
    </xf>
    <xf numFmtId="170" fontId="1" fillId="3" borderId="16" xfId="1" applyNumberFormat="1" applyFont="1" applyFill="1" applyBorder="1" applyAlignment="1" applyProtection="1">
      <alignment horizontal="right"/>
    </xf>
    <xf numFmtId="2" fontId="10" fillId="0" borderId="16" xfId="0" applyNumberFormat="1" applyFont="1" applyBorder="1" applyAlignment="1">
      <alignment horizontal="left"/>
    </xf>
    <xf numFmtId="1" fontId="26" fillId="0" borderId="16" xfId="3" applyBorder="1" applyAlignment="1" applyProtection="1">
      <alignment horizontal="left" wrapText="1"/>
    </xf>
    <xf numFmtId="1" fontId="8" fillId="0" borderId="14" xfId="0" applyFont="1" applyBorder="1"/>
    <xf numFmtId="9" fontId="10" fillId="0" borderId="16" xfId="2" applyFont="1" applyBorder="1" applyAlignment="1" applyProtection="1">
      <alignment horizontal="right"/>
    </xf>
    <xf numFmtId="170" fontId="21" fillId="0" borderId="0" xfId="1" applyNumberFormat="1" applyFont="1" applyBorder="1" applyAlignment="1" applyProtection="1">
      <alignment horizontal="right"/>
    </xf>
    <xf numFmtId="170" fontId="21" fillId="0" borderId="0" xfId="0" applyNumberFormat="1" applyFont="1" applyAlignment="1">
      <alignment horizontal="right"/>
    </xf>
    <xf numFmtId="170" fontId="1" fillId="0" borderId="0" xfId="1" applyNumberFormat="1" applyFont="1" applyBorder="1" applyAlignment="1" applyProtection="1">
      <alignment horizontal="right" wrapText="1"/>
    </xf>
    <xf numFmtId="1" fontId="22" fillId="6" borderId="15" xfId="0" applyFont="1" applyFill="1" applyBorder="1" applyAlignment="1">
      <alignment horizontal="left"/>
    </xf>
    <xf numFmtId="1" fontId="6" fillId="6" borderId="16" xfId="0" applyFont="1" applyFill="1" applyBorder="1" applyAlignment="1">
      <alignment horizontal="left"/>
    </xf>
    <xf numFmtId="170" fontId="6" fillId="6" borderId="16" xfId="1" applyNumberFormat="1" applyFont="1" applyFill="1" applyBorder="1" applyAlignment="1" applyProtection="1">
      <alignment horizontal="right"/>
    </xf>
    <xf numFmtId="1" fontId="6" fillId="6" borderId="16" xfId="0" applyFont="1" applyFill="1" applyBorder="1" applyAlignment="1">
      <alignment horizontal="left" wrapText="1"/>
    </xf>
    <xf numFmtId="170" fontId="21" fillId="0" borderId="0" xfId="0" applyNumberFormat="1" applyFont="1" applyAlignment="1">
      <alignment horizontal="right" wrapText="1"/>
    </xf>
    <xf numFmtId="170" fontId="22" fillId="0" borderId="0" xfId="0" applyNumberFormat="1" applyFont="1" applyAlignment="1">
      <alignment horizontal="right"/>
    </xf>
    <xf numFmtId="0" fontId="2" fillId="0" borderId="0" xfId="6"/>
    <xf numFmtId="166" fontId="8" fillId="2" borderId="3" xfId="0" applyNumberFormat="1" applyFont="1" applyFill="1" applyBorder="1"/>
    <xf numFmtId="1" fontId="27" fillId="0" borderId="0" xfId="0" applyFont="1" applyAlignment="1">
      <alignment vertical="top" wrapText="1"/>
    </xf>
    <xf numFmtId="1" fontId="0" fillId="0" borderId="4" xfId="0" applyBorder="1"/>
    <xf numFmtId="0" fontId="28" fillId="0" borderId="19" xfId="5" applyFont="1" applyBorder="1" applyAlignment="1">
      <alignment horizontal="center" vertical="center"/>
    </xf>
    <xf numFmtId="0" fontId="28" fillId="0" borderId="19" xfId="5" applyFont="1" applyBorder="1" applyAlignment="1">
      <alignment horizontal="center" vertical="center" wrapText="1"/>
    </xf>
    <xf numFmtId="0" fontId="28" fillId="0" borderId="0" xfId="5" applyFont="1" applyAlignment="1">
      <alignment horizontal="center" vertical="center"/>
    </xf>
    <xf numFmtId="0" fontId="29" fillId="0" borderId="0" xfId="6" applyFont="1"/>
    <xf numFmtId="0" fontId="30" fillId="0" borderId="0" xfId="6" applyFont="1" applyAlignment="1">
      <alignment horizontal="center"/>
    </xf>
    <xf numFmtId="0" fontId="28" fillId="0" borderId="0" xfId="5" applyFont="1" applyAlignment="1">
      <alignment horizontal="left" vertical="center"/>
    </xf>
    <xf numFmtId="0" fontId="29" fillId="0" borderId="0" xfId="6" applyFont="1" applyAlignment="1">
      <alignment horizontal="center"/>
    </xf>
    <xf numFmtId="0" fontId="30" fillId="0" borderId="0" xfId="6" applyFont="1" applyAlignment="1">
      <alignment horizontal="left" vertical="center" wrapText="1"/>
    </xf>
    <xf numFmtId="170" fontId="30" fillId="0" borderId="0" xfId="4" applyNumberFormat="1" applyFont="1" applyBorder="1" applyAlignment="1" applyProtection="1">
      <alignment horizontal="right" vertical="center" wrapText="1"/>
    </xf>
    <xf numFmtId="170" fontId="29" fillId="0" borderId="0" xfId="6" applyNumberFormat="1" applyFont="1" applyAlignment="1">
      <alignment horizontal="right"/>
    </xf>
    <xf numFmtId="0" fontId="28" fillId="0" borderId="9" xfId="5" applyFont="1" applyBorder="1" applyAlignment="1">
      <alignment horizontal="left" vertical="center" wrapText="1"/>
    </xf>
    <xf numFmtId="170" fontId="28" fillId="0" borderId="9" xfId="4" applyNumberFormat="1" applyFont="1" applyBorder="1" applyAlignment="1" applyProtection="1">
      <alignment horizontal="right" vertical="center" wrapText="1"/>
    </xf>
    <xf numFmtId="164" fontId="28" fillId="0" borderId="0" xfId="4" applyFont="1" applyBorder="1" applyAlignment="1" applyProtection="1">
      <alignment horizontal="left" vertical="center" wrapText="1"/>
    </xf>
    <xf numFmtId="170" fontId="28" fillId="0" borderId="0" xfId="4" applyNumberFormat="1" applyFont="1" applyBorder="1" applyAlignment="1" applyProtection="1">
      <alignment horizontal="right" vertical="center" wrapText="1"/>
    </xf>
    <xf numFmtId="9" fontId="28" fillId="0" borderId="0" xfId="2" applyFont="1" applyBorder="1" applyAlignment="1" applyProtection="1">
      <alignment horizontal="left" vertical="center" wrapText="1"/>
    </xf>
    <xf numFmtId="164" fontId="31" fillId="0" borderId="0" xfId="4" applyFont="1" applyBorder="1" applyAlignment="1" applyProtection="1">
      <alignment horizontal="left" vertical="center" wrapText="1"/>
    </xf>
    <xf numFmtId="170" fontId="31" fillId="0" borderId="0" xfId="6" applyNumberFormat="1" applyFont="1" applyAlignment="1">
      <alignment horizontal="right"/>
    </xf>
    <xf numFmtId="1" fontId="21" fillId="2" borderId="2" xfId="0" applyFont="1" applyFill="1" applyBorder="1"/>
    <xf numFmtId="0" fontId="30" fillId="0" borderId="0" xfId="0" applyNumberFormat="1" applyFont="1" applyAlignment="1">
      <alignment horizontal="left" vertical="center" wrapText="1"/>
    </xf>
    <xf numFmtId="1" fontId="30" fillId="0" borderId="0" xfId="4" applyNumberFormat="1" applyFont="1" applyBorder="1" applyAlignment="1" applyProtection="1">
      <alignment horizontal="left" vertical="center" wrapText="1"/>
    </xf>
    <xf numFmtId="170" fontId="30" fillId="0" borderId="0" xfId="6" applyNumberFormat="1" applyFont="1" applyAlignment="1">
      <alignment horizontal="right"/>
    </xf>
    <xf numFmtId="170" fontId="2" fillId="0" borderId="0" xfId="6" applyNumberFormat="1" applyAlignment="1">
      <alignment horizontal="right"/>
    </xf>
    <xf numFmtId="170" fontId="32" fillId="0" borderId="0" xfId="6" applyNumberFormat="1" applyFont="1" applyAlignment="1">
      <alignment horizontal="right"/>
    </xf>
    <xf numFmtId="1" fontId="33" fillId="0" borderId="0" xfId="0" applyFont="1"/>
    <xf numFmtId="1" fontId="24" fillId="0" borderId="7" xfId="0" applyFont="1" applyBorder="1"/>
    <xf numFmtId="175" fontId="10" fillId="0" borderId="7" xfId="1" applyNumberFormat="1" applyFont="1" applyBorder="1" applyAlignment="1" applyProtection="1">
      <alignment horizontal="right"/>
    </xf>
    <xf numFmtId="175" fontId="10" fillId="0" borderId="20" xfId="1" applyNumberFormat="1" applyFont="1" applyBorder="1" applyAlignment="1" applyProtection="1">
      <alignment horizontal="right"/>
    </xf>
    <xf numFmtId="175" fontId="1" fillId="0" borderId="7" xfId="1" applyNumberFormat="1" applyFont="1" applyBorder="1" applyAlignment="1" applyProtection="1">
      <alignment horizontal="right"/>
    </xf>
    <xf numFmtId="1" fontId="4" fillId="0" borderId="22" xfId="0" applyFont="1" applyBorder="1"/>
    <xf numFmtId="1" fontId="4" fillId="0" borderId="23" xfId="0" applyFont="1" applyBorder="1"/>
    <xf numFmtId="1" fontId="4" fillId="0" borderId="24" xfId="0" applyFont="1" applyBorder="1"/>
    <xf numFmtId="1" fontId="4" fillId="0" borderId="25" xfId="0" applyFont="1" applyBorder="1"/>
    <xf numFmtId="170" fontId="4" fillId="0" borderId="26" xfId="1" applyNumberFormat="1" applyFont="1" applyBorder="1" applyAlignment="1" applyProtection="1">
      <alignment horizontal="right"/>
    </xf>
    <xf numFmtId="170" fontId="4" fillId="0" borderId="27" xfId="1" applyNumberFormat="1" applyFont="1" applyBorder="1" applyAlignment="1" applyProtection="1">
      <alignment horizontal="right"/>
    </xf>
    <xf numFmtId="1" fontId="4" fillId="0" borderId="28" xfId="0" applyFont="1" applyBorder="1"/>
    <xf numFmtId="170" fontId="4" fillId="0" borderId="6" xfId="1" applyNumberFormat="1" applyFont="1" applyBorder="1" applyAlignment="1" applyProtection="1">
      <alignment horizontal="right"/>
    </xf>
    <xf numFmtId="170" fontId="4" fillId="7" borderId="6" xfId="1" applyNumberFormat="1" applyFont="1" applyFill="1" applyBorder="1" applyAlignment="1" applyProtection="1">
      <alignment horizontal="right"/>
    </xf>
    <xf numFmtId="170" fontId="4" fillId="0" borderId="29" xfId="1" applyNumberFormat="1" applyFont="1" applyBorder="1" applyAlignment="1" applyProtection="1">
      <alignment horizontal="right"/>
    </xf>
    <xf numFmtId="1" fontId="4" fillId="0" borderId="30" xfId="0" applyFont="1" applyBorder="1"/>
    <xf numFmtId="170" fontId="4" fillId="7" borderId="31" xfId="1" applyNumberFormat="1" applyFont="1" applyFill="1" applyBorder="1" applyAlignment="1" applyProtection="1">
      <alignment horizontal="right"/>
    </xf>
    <xf numFmtId="170" fontId="4" fillId="0" borderId="31" xfId="1" applyNumberFormat="1" applyFont="1" applyBorder="1" applyAlignment="1" applyProtection="1">
      <alignment horizontal="right"/>
    </xf>
    <xf numFmtId="1" fontId="4" fillId="0" borderId="32" xfId="0" applyFont="1" applyBorder="1"/>
    <xf numFmtId="170" fontId="4" fillId="0" borderId="33" xfId="1" applyNumberFormat="1" applyFont="1" applyBorder="1" applyAlignment="1" applyProtection="1">
      <alignment horizontal="right"/>
    </xf>
    <xf numFmtId="170" fontId="4" fillId="0" borderId="34" xfId="1" applyNumberFormat="1" applyFont="1" applyBorder="1" applyAlignment="1" applyProtection="1">
      <alignment horizontal="right"/>
    </xf>
    <xf numFmtId="1" fontId="3" fillId="0" borderId="32" xfId="0" applyFont="1" applyBorder="1"/>
    <xf numFmtId="170" fontId="3" fillId="0" borderId="33" xfId="1" applyNumberFormat="1" applyFont="1" applyBorder="1" applyAlignment="1" applyProtection="1">
      <alignment horizontal="right"/>
    </xf>
    <xf numFmtId="170" fontId="3" fillId="0" borderId="7" xfId="1" applyNumberFormat="1" applyFont="1" applyBorder="1" applyAlignment="1" applyProtection="1">
      <alignment horizontal="right"/>
    </xf>
    <xf numFmtId="1" fontId="22" fillId="0" borderId="0" xfId="0" applyFont="1" applyAlignment="1">
      <alignment wrapText="1"/>
    </xf>
    <xf numFmtId="1" fontId="6" fillId="0" borderId="0" xfId="0" applyFont="1" applyAlignment="1">
      <alignment horizontal="left" vertical="top"/>
    </xf>
    <xf numFmtId="1" fontId="0" fillId="0" borderId="0" xfId="0" applyAlignment="1">
      <alignment horizontal="center"/>
    </xf>
    <xf numFmtId="1" fontId="19" fillId="0" borderId="6" xfId="0" applyFont="1" applyBorder="1" applyAlignment="1">
      <alignment horizontal="left" wrapText="1"/>
    </xf>
    <xf numFmtId="1" fontId="0" fillId="0" borderId="9" xfId="0" applyBorder="1" applyAlignment="1">
      <alignment horizontal="center"/>
    </xf>
    <xf numFmtId="1" fontId="8" fillId="2" borderId="4" xfId="0" applyFont="1" applyFill="1" applyBorder="1" applyAlignment="1">
      <alignment horizontal="left" wrapText="1"/>
    </xf>
    <xf numFmtId="1" fontId="1" fillId="0" borderId="0" xfId="0" applyFont="1" applyAlignment="1">
      <alignment horizontal="left" wrapText="1"/>
    </xf>
    <xf numFmtId="1" fontId="6" fillId="0" borderId="0" xfId="0" applyFont="1" applyAlignment="1">
      <alignment horizontal="left" wrapText="1"/>
    </xf>
    <xf numFmtId="1" fontId="8" fillId="2" borderId="4" xfId="0" applyFont="1" applyFill="1" applyBorder="1" applyAlignment="1">
      <alignment horizontal="left"/>
    </xf>
    <xf numFmtId="1" fontId="0" fillId="0" borderId="0" xfId="0" applyAlignment="1">
      <alignment horizontal="left"/>
    </xf>
    <xf numFmtId="1" fontId="1" fillId="0" borderId="0" xfId="0" applyFont="1" applyAlignment="1">
      <alignment horizontal="left"/>
    </xf>
    <xf numFmtId="1" fontId="16" fillId="0" borderId="0" xfId="0" applyFont="1" applyAlignment="1">
      <alignment horizontal="left" wrapText="1"/>
    </xf>
    <xf numFmtId="1" fontId="8" fillId="6" borderId="18" xfId="0" applyFont="1" applyFill="1" applyBorder="1" applyAlignment="1">
      <alignment horizontal="left"/>
    </xf>
    <xf numFmtId="1" fontId="27" fillId="0" borderId="0" xfId="0" applyFont="1" applyAlignment="1">
      <alignment horizontal="left" vertical="top" wrapText="1"/>
    </xf>
    <xf numFmtId="0" fontId="28" fillId="0" borderId="19" xfId="5" applyFont="1" applyBorder="1" applyAlignment="1">
      <alignment horizontal="center" vertical="center"/>
    </xf>
    <xf numFmtId="1" fontId="34" fillId="0" borderId="21" xfId="0" applyFont="1" applyBorder="1" applyAlignment="1">
      <alignment horizontal="center"/>
    </xf>
  </cellXfs>
  <cellStyles count="7">
    <cellStyle name="Currency" xfId="1" builtinId="4"/>
    <cellStyle name="Currency 2" xfId="4" xr:uid="{00000000-0005-0000-0000-000006000000}"/>
    <cellStyle name="Hyperlink" xfId="3" builtinId="8"/>
    <cellStyle name="Normal" xfId="0" builtinId="0"/>
    <cellStyle name="Normal 2" xfId="5" xr:uid="{00000000-0005-0000-0000-000007000000}"/>
    <cellStyle name="Normal 3" xfId="6" xr:uid="{00000000-0005-0000-0000-000008000000}"/>
    <cellStyle name="Percent" xfId="2"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C0504D"/>
      <rgbColor rgb="FFEEECE1"/>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A6CAF0"/>
      <rgbColor rgb="FFFF99CC"/>
      <rgbColor rgb="FFCC99FF"/>
      <rgbColor rgb="FFFAC090"/>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8"/>
  <sheetViews>
    <sheetView zoomScaleNormal="100" workbookViewId="0"/>
  </sheetViews>
  <sheetFormatPr defaultColWidth="141.1796875" defaultRowHeight="12.5" x14ac:dyDescent="0.25"/>
  <sheetData>
    <row r="1" spans="1:1" ht="43.5" customHeight="1" x14ac:dyDescent="0.25">
      <c r="A1" s="3" t="s">
        <v>0</v>
      </c>
    </row>
    <row r="2" spans="1:1" ht="47.5" customHeight="1" x14ac:dyDescent="0.25">
      <c r="A2" s="4" t="s">
        <v>1</v>
      </c>
    </row>
    <row r="3" spans="1:1" ht="38" x14ac:dyDescent="0.25">
      <c r="A3" s="4" t="s">
        <v>2</v>
      </c>
    </row>
    <row r="4" spans="1:1" ht="50.5" x14ac:dyDescent="0.25">
      <c r="A4" s="4" t="s">
        <v>3</v>
      </c>
    </row>
    <row r="5" spans="1:1" ht="50.5" x14ac:dyDescent="0.25">
      <c r="A5" s="4" t="s">
        <v>4</v>
      </c>
    </row>
    <row r="8" spans="1:1" ht="55" customHeight="1" x14ac:dyDescent="0.3">
      <c r="A8" s="5" t="s">
        <v>5</v>
      </c>
    </row>
  </sheetData>
  <printOptions gridLines="1"/>
  <pageMargins left="0.70833333333333304" right="0.70833333333333304" top="0.74791666666666701" bottom="0.74861111111111101" header="0.51180555555555496" footer="0.31527777777777799"/>
  <pageSetup paperSize="9" firstPageNumber="0" orientation="landscape" horizontalDpi="300" verticalDpi="300"/>
  <headerFooter>
    <oddFooter>&amp;L&amp;8&amp;A
Copyright © 2021 by KCE Trials. 
All rights reserved.&amp;C&amp;8KCET_Temp_xx_BeNeFIT_V3.x_mm/dd/2020&amp;R&amp;8BeNeFIT Budget tool 4.0</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51"/>
  <sheetViews>
    <sheetView tabSelected="1" zoomScaleNormal="100" workbookViewId="0">
      <selection activeCell="A28" sqref="A28"/>
    </sheetView>
  </sheetViews>
  <sheetFormatPr defaultColWidth="8.7265625" defaultRowHeight="12.5" x14ac:dyDescent="0.25"/>
  <cols>
    <col min="1" max="1" width="48.453125" customWidth="1"/>
    <col min="2" max="2" width="47.54296875" customWidth="1"/>
    <col min="3" max="3" width="10.81640625" customWidth="1"/>
    <col min="4" max="4" width="24.54296875" customWidth="1"/>
    <col min="5" max="5" width="58" customWidth="1"/>
  </cols>
  <sheetData>
    <row r="1" spans="1:4" ht="15.5" x14ac:dyDescent="0.35">
      <c r="A1" s="6" t="s">
        <v>6</v>
      </c>
      <c r="B1" s="7" t="str">
        <f>B7</f>
        <v>Number</v>
      </c>
      <c r="C1" s="7"/>
      <c r="D1" s="8" t="str">
        <f>B11</f>
        <v>DD/MM/YYYY</v>
      </c>
    </row>
    <row r="2" spans="1:4" x14ac:dyDescent="0.25">
      <c r="A2" s="9" t="s">
        <v>7</v>
      </c>
      <c r="B2" s="10"/>
      <c r="D2" s="11"/>
    </row>
    <row r="3" spans="1:4" ht="15.5" x14ac:dyDescent="0.35">
      <c r="A3" s="6" t="s">
        <v>8</v>
      </c>
      <c r="B3" s="12"/>
      <c r="C3" s="7"/>
      <c r="D3" s="13"/>
    </row>
    <row r="4" spans="1:4" x14ac:dyDescent="0.25">
      <c r="B4" s="10"/>
    </row>
    <row r="5" spans="1:4" ht="13" x14ac:dyDescent="0.3">
      <c r="A5" s="14" t="s">
        <v>9</v>
      </c>
      <c r="B5" s="15"/>
    </row>
    <row r="6" spans="1:4" ht="13" x14ac:dyDescent="0.3">
      <c r="A6" s="14"/>
    </row>
    <row r="7" spans="1:4" ht="13" x14ac:dyDescent="0.3">
      <c r="A7" s="14" t="s">
        <v>10</v>
      </c>
      <c r="B7" s="16" t="s">
        <v>11</v>
      </c>
      <c r="D7" s="17" t="s">
        <v>12</v>
      </c>
    </row>
    <row r="8" spans="1:4" ht="13" x14ac:dyDescent="0.3">
      <c r="A8" s="14"/>
      <c r="B8" s="18"/>
      <c r="D8" s="17"/>
    </row>
    <row r="9" spans="1:4" ht="13" x14ac:dyDescent="0.3">
      <c r="A9" s="14" t="s">
        <v>13</v>
      </c>
      <c r="B9" s="16"/>
    </row>
    <row r="10" spans="1:4" ht="13" x14ac:dyDescent="0.3">
      <c r="A10" s="14"/>
      <c r="B10" s="18"/>
    </row>
    <row r="11" spans="1:4" ht="13" x14ac:dyDescent="0.3">
      <c r="A11" s="14" t="s">
        <v>14</v>
      </c>
      <c r="B11" s="19" t="s">
        <v>15</v>
      </c>
    </row>
    <row r="12" spans="1:4" ht="13" x14ac:dyDescent="0.3">
      <c r="A12" s="14"/>
    </row>
    <row r="13" spans="1:4" ht="13" customHeight="1" x14ac:dyDescent="0.25">
      <c r="A13" s="176" t="s">
        <v>16</v>
      </c>
      <c r="B13" t="s">
        <v>17</v>
      </c>
      <c r="C13" s="15"/>
    </row>
    <row r="14" spans="1:4" ht="13" customHeight="1" x14ac:dyDescent="0.25">
      <c r="A14" s="176"/>
      <c r="B14" t="s">
        <v>18</v>
      </c>
      <c r="C14" s="15"/>
    </row>
    <row r="15" spans="1:4" ht="13" customHeight="1" x14ac:dyDescent="0.25">
      <c r="A15" s="176"/>
      <c r="B15" s="18" t="s">
        <v>19</v>
      </c>
      <c r="C15" s="15"/>
    </row>
    <row r="16" spans="1:4" ht="13" customHeight="1" x14ac:dyDescent="0.25">
      <c r="A16" s="176"/>
      <c r="B16" s="18" t="s">
        <v>20</v>
      </c>
      <c r="C16" s="15"/>
    </row>
    <row r="17" spans="1:4" ht="13" customHeight="1" x14ac:dyDescent="0.25">
      <c r="A17" s="176"/>
      <c r="B17" t="s">
        <v>21</v>
      </c>
      <c r="C17" s="15"/>
    </row>
    <row r="18" spans="1:4" ht="13" customHeight="1" x14ac:dyDescent="0.25">
      <c r="A18" s="2"/>
      <c r="B18" t="s">
        <v>22</v>
      </c>
      <c r="C18" s="15"/>
    </row>
    <row r="19" spans="1:4" ht="13" x14ac:dyDescent="0.3">
      <c r="A19" s="14"/>
      <c r="B19" s="1" t="s">
        <v>23</v>
      </c>
      <c r="C19" s="20">
        <f>C15+C16</f>
        <v>0</v>
      </c>
    </row>
    <row r="20" spans="1:4" ht="13" x14ac:dyDescent="0.3">
      <c r="A20" s="14" t="s">
        <v>24</v>
      </c>
      <c r="B20" s="1"/>
      <c r="C20" s="15"/>
    </row>
    <row r="21" spans="1:4" ht="13" x14ac:dyDescent="0.3">
      <c r="A21" s="14" t="s">
        <v>25</v>
      </c>
      <c r="B21" s="1"/>
    </row>
    <row r="22" spans="1:4" ht="13" x14ac:dyDescent="0.3">
      <c r="A22" s="14" t="s">
        <v>26</v>
      </c>
      <c r="B22" s="1"/>
      <c r="C22" s="15"/>
    </row>
    <row r="23" spans="1:4" ht="13" x14ac:dyDescent="0.3">
      <c r="A23" s="14" t="s">
        <v>27</v>
      </c>
      <c r="B23" s="1"/>
      <c r="C23" s="15"/>
    </row>
    <row r="24" spans="1:4" ht="13" x14ac:dyDescent="0.3">
      <c r="A24" s="14" t="s">
        <v>28</v>
      </c>
      <c r="B24" s="1"/>
      <c r="C24" s="20">
        <f>SUM(C22:C23)</f>
        <v>0</v>
      </c>
    </row>
    <row r="25" spans="1:4" ht="13" x14ac:dyDescent="0.3">
      <c r="A25" s="21" t="s">
        <v>29</v>
      </c>
      <c r="B25" s="1"/>
      <c r="C25" s="15"/>
      <c r="D25" s="17" t="s">
        <v>30</v>
      </c>
    </row>
    <row r="26" spans="1:4" ht="63.5" x14ac:dyDescent="0.25">
      <c r="A26" s="21" t="s">
        <v>31</v>
      </c>
      <c r="B26" s="1"/>
      <c r="C26" s="15"/>
      <c r="D26" s="17" t="s">
        <v>30</v>
      </c>
    </row>
    <row r="27" spans="1:4" ht="13" x14ac:dyDescent="0.3">
      <c r="A27" s="21" t="s">
        <v>32</v>
      </c>
      <c r="B27" s="1"/>
      <c r="C27" s="15"/>
      <c r="D27" s="17" t="s">
        <v>30</v>
      </c>
    </row>
    <row r="28" spans="1:4" ht="13" x14ac:dyDescent="0.3">
      <c r="A28" s="14"/>
      <c r="B28" s="1"/>
      <c r="D28" s="17"/>
    </row>
    <row r="29" spans="1:4" ht="13" x14ac:dyDescent="0.3">
      <c r="A29" s="14"/>
      <c r="B29" s="1"/>
      <c r="C29" s="18"/>
      <c r="D29" t="s">
        <v>33</v>
      </c>
    </row>
    <row r="30" spans="1:4" ht="13" customHeight="1" x14ac:dyDescent="0.25">
      <c r="A30" s="176" t="s">
        <v>34</v>
      </c>
      <c r="B30" s="18" t="s">
        <v>35</v>
      </c>
      <c r="C30" s="22"/>
      <c r="D30" s="23"/>
    </row>
    <row r="31" spans="1:4" x14ac:dyDescent="0.25">
      <c r="A31" s="176"/>
      <c r="B31" s="18" t="s">
        <v>36</v>
      </c>
      <c r="D31" s="23"/>
    </row>
    <row r="32" spans="1:4" x14ac:dyDescent="0.25">
      <c r="A32" s="176"/>
      <c r="B32" s="18" t="s">
        <v>37</v>
      </c>
      <c r="D32" s="23"/>
    </row>
    <row r="33" spans="1:5" x14ac:dyDescent="0.25">
      <c r="A33" s="176"/>
      <c r="B33" s="18" t="s">
        <v>38</v>
      </c>
      <c r="D33" s="23"/>
    </row>
    <row r="34" spans="1:5" x14ac:dyDescent="0.25">
      <c r="A34" s="176"/>
      <c r="B34" s="18" t="s">
        <v>39</v>
      </c>
      <c r="D34" s="24"/>
    </row>
    <row r="35" spans="1:5" x14ac:dyDescent="0.25">
      <c r="A35" s="176"/>
      <c r="B35" s="18" t="s">
        <v>40</v>
      </c>
      <c r="D35" s="20">
        <f>(D34-D30)/30.5</f>
        <v>0</v>
      </c>
      <c r="E35" s="25"/>
    </row>
    <row r="36" spans="1:5" ht="25" x14ac:dyDescent="0.25">
      <c r="A36" s="176"/>
      <c r="B36" s="26" t="s">
        <v>41</v>
      </c>
      <c r="D36" s="20">
        <f>(D33-D30)/30.5</f>
        <v>0</v>
      </c>
    </row>
    <row r="37" spans="1:5" x14ac:dyDescent="0.25">
      <c r="A37" s="176"/>
      <c r="B37" s="18" t="s">
        <v>42</v>
      </c>
      <c r="D37" s="27">
        <f>(D34-D30)/365</f>
        <v>0</v>
      </c>
    </row>
    <row r="38" spans="1:5" x14ac:dyDescent="0.25">
      <c r="A38" s="176"/>
      <c r="B38" s="18" t="s">
        <v>43</v>
      </c>
      <c r="D38" s="20">
        <f>(D31-D30)/30.5</f>
        <v>0</v>
      </c>
    </row>
    <row r="39" spans="1:5" ht="25.5" customHeight="1" x14ac:dyDescent="0.25">
      <c r="A39" s="176" t="s">
        <v>44</v>
      </c>
      <c r="B39" s="26" t="s">
        <v>45</v>
      </c>
      <c r="D39" s="15"/>
      <c r="E39" s="18"/>
    </row>
    <row r="40" spans="1:5" ht="25" x14ac:dyDescent="0.25">
      <c r="A40" s="176"/>
      <c r="B40" s="26" t="s">
        <v>46</v>
      </c>
      <c r="D40" s="20">
        <f>IF(C47&gt;2,(D36/2-D39),IF(C47=2,(D36/3-D39),0))</f>
        <v>0</v>
      </c>
    </row>
    <row r="41" spans="1:5" ht="50" x14ac:dyDescent="0.25">
      <c r="A41" s="2"/>
      <c r="B41" s="26" t="s">
        <v>47</v>
      </c>
      <c r="C41" s="18"/>
      <c r="D41" s="16"/>
      <c r="E41" s="26" t="s">
        <v>48</v>
      </c>
    </row>
    <row r="43" spans="1:5" ht="26" x14ac:dyDescent="0.3">
      <c r="A43" s="21" t="s">
        <v>49</v>
      </c>
      <c r="D43" s="15"/>
    </row>
    <row r="44" spans="1:5" ht="13" x14ac:dyDescent="0.3">
      <c r="A44" s="21" t="s">
        <v>50</v>
      </c>
      <c r="D44" s="15"/>
    </row>
    <row r="45" spans="1:5" ht="13" x14ac:dyDescent="0.3">
      <c r="A45" s="21" t="s">
        <v>51</v>
      </c>
      <c r="D45" s="15"/>
    </row>
    <row r="46" spans="1:5" ht="13" x14ac:dyDescent="0.3">
      <c r="A46" s="21"/>
    </row>
    <row r="47" spans="1:5" ht="50" x14ac:dyDescent="0.25">
      <c r="A47" s="28" t="s">
        <v>52</v>
      </c>
      <c r="B47" s="29" t="s">
        <v>53</v>
      </c>
      <c r="C47" s="15"/>
      <c r="D47" s="17" t="s">
        <v>30</v>
      </c>
      <c r="E47" s="26"/>
    </row>
    <row r="48" spans="1:5" x14ac:dyDescent="0.25">
      <c r="A48" s="30"/>
    </row>
    <row r="49" spans="1:1" x14ac:dyDescent="0.25">
      <c r="A49" s="30"/>
    </row>
    <row r="51" spans="1:1" x14ac:dyDescent="0.25">
      <c r="A51" s="16" t="s">
        <v>54</v>
      </c>
    </row>
  </sheetData>
  <mergeCells count="3">
    <mergeCell ref="A13:A17"/>
    <mergeCell ref="A30:A38"/>
    <mergeCell ref="A39:A40"/>
  </mergeCells>
  <dataValidations count="1">
    <dataValidation type="whole" allowBlank="1" showInputMessage="1" showErrorMessage="1" sqref="C13:C18" xr:uid="{00000000-0002-0000-0100-000000000000}">
      <formula1>0</formula1>
      <formula2>1000000</formula2>
    </dataValidation>
  </dataValidations>
  <printOptions gridLines="1"/>
  <pageMargins left="0.70833333333333304" right="0.70833333333333304" top="0.74791666666666701" bottom="0.74861111111111101" header="0.51180555555555496" footer="0.31527777777777799"/>
  <pageSetup paperSize="9" firstPageNumber="0" orientation="landscape" horizontalDpi="300" verticalDpi="300"/>
  <headerFooter>
    <oddFooter>&amp;L&amp;8&amp;F
Copyright © 2021 by KCE Trials. All rights reserved.&amp;C&amp;8&amp;P/&amp;N&amp;R&amp;8&amp;A 
BeNeFIT Budget tool v4.0</oddFooter>
  </headerFooter>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1000000}">
          <x14:formula1>
            <xm:f>Lists!$B$2:$B$3</xm:f>
          </x14:formula1>
          <x14:formula2>
            <xm:f>0</xm:f>
          </x14:formula2>
          <xm:sqref>C25:C27 D44</xm:sqref>
        </x14:dataValidation>
        <x14:dataValidation type="list" allowBlank="1" showInputMessage="1" showErrorMessage="1" xr:uid="{00000000-0002-0000-0100-000002000000}">
          <x14:formula1>
            <xm:f>Lists!$B$5:$B$6</xm:f>
          </x14:formula1>
          <x14:formula2>
            <xm:f>0</xm:f>
          </x14:formula2>
          <xm:sqref>C47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zoomScaleNormal="100" workbookViewId="0"/>
  </sheetViews>
  <sheetFormatPr defaultColWidth="8.7265625" defaultRowHeight="12.5" x14ac:dyDescent="0.25"/>
  <cols>
    <col min="1" max="1" width="17.54296875" customWidth="1"/>
  </cols>
  <sheetData>
    <row r="1" spans="1:2" ht="13" x14ac:dyDescent="0.3">
      <c r="A1" s="31" t="s">
        <v>55</v>
      </c>
      <c r="B1" s="31" t="s">
        <v>56</v>
      </c>
    </row>
    <row r="2" spans="1:2" x14ac:dyDescent="0.25">
      <c r="A2" s="18" t="s">
        <v>57</v>
      </c>
      <c r="B2" s="18" t="s">
        <v>58</v>
      </c>
    </row>
    <row r="3" spans="1:2" x14ac:dyDescent="0.25">
      <c r="A3" s="18" t="s">
        <v>57</v>
      </c>
      <c r="B3" s="18" t="s">
        <v>59</v>
      </c>
    </row>
    <row r="4" spans="1:2" x14ac:dyDescent="0.25">
      <c r="A4" t="s">
        <v>60</v>
      </c>
      <c r="B4">
        <v>1</v>
      </c>
    </row>
    <row r="5" spans="1:2" x14ac:dyDescent="0.25">
      <c r="A5" t="s">
        <v>60</v>
      </c>
      <c r="B5">
        <v>2</v>
      </c>
    </row>
    <row r="6" spans="1:2" x14ac:dyDescent="0.25">
      <c r="A6" t="s">
        <v>60</v>
      </c>
      <c r="B6">
        <v>3</v>
      </c>
    </row>
    <row r="7" spans="1:2" x14ac:dyDescent="0.25">
      <c r="A7" t="s">
        <v>60</v>
      </c>
      <c r="B7">
        <v>4</v>
      </c>
    </row>
  </sheetData>
  <pageMargins left="0.7" right="0.7" top="0.75" bottom="0.75" header="0.51180555555555496" footer="0.51180555555555496"/>
  <pageSetup paperSize="9" firstPageNumber="0" orientation="portrait" horizontalDpi="300" verticalDpi="30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1"/>
  <sheetViews>
    <sheetView zoomScaleNormal="100" workbookViewId="0">
      <selection activeCell="A21" sqref="A21"/>
    </sheetView>
  </sheetViews>
  <sheetFormatPr defaultColWidth="8.7265625" defaultRowHeight="12.5" x14ac:dyDescent="0.25"/>
  <cols>
    <col min="1" max="1" width="31.1796875" customWidth="1"/>
    <col min="2" max="2" width="16.453125" customWidth="1"/>
    <col min="3" max="3" width="28.81640625" customWidth="1"/>
    <col min="4" max="4" width="33.81640625" customWidth="1"/>
    <col min="5" max="5" width="32" customWidth="1"/>
    <col min="6" max="6" width="33.54296875" customWidth="1"/>
  </cols>
  <sheetData>
    <row r="1" spans="1:6" ht="15.5" x14ac:dyDescent="0.35">
      <c r="A1" s="6" t="s">
        <v>61</v>
      </c>
      <c r="B1" s="7"/>
      <c r="C1" s="7" t="str">
        <f>'Study Parameters'!B7</f>
        <v>Number</v>
      </c>
      <c r="D1" s="7"/>
      <c r="E1" s="8" t="str">
        <f>'Study Parameters'!D1</f>
        <v>DD/MM/YYYY</v>
      </c>
      <c r="F1" s="8"/>
    </row>
    <row r="2" spans="1:6" ht="15.5" x14ac:dyDescent="0.35">
      <c r="A2" s="32" t="s">
        <v>62</v>
      </c>
      <c r="B2" s="33"/>
      <c r="C2" s="33"/>
      <c r="D2" s="33"/>
      <c r="E2" s="34"/>
      <c r="F2" s="34"/>
    </row>
    <row r="3" spans="1:6" ht="15.5" x14ac:dyDescent="0.35">
      <c r="A3" s="35" t="s">
        <v>63</v>
      </c>
      <c r="B3" s="6"/>
      <c r="C3" s="7"/>
      <c r="D3" s="7"/>
      <c r="E3" s="13"/>
      <c r="F3" s="13"/>
    </row>
    <row r="4" spans="1:6" ht="13" x14ac:dyDescent="0.3">
      <c r="A4" t="s">
        <v>64</v>
      </c>
      <c r="B4" s="36">
        <v>1.0824</v>
      </c>
    </row>
    <row r="5" spans="1:6" ht="13" x14ac:dyDescent="0.3">
      <c r="A5" s="14" t="s">
        <v>65</v>
      </c>
    </row>
    <row r="6" spans="1:6" ht="13" x14ac:dyDescent="0.3">
      <c r="A6" s="14" t="s">
        <v>66</v>
      </c>
      <c r="B6" s="14" t="s">
        <v>67</v>
      </c>
    </row>
    <row r="7" spans="1:6" x14ac:dyDescent="0.25">
      <c r="A7" s="18" t="s">
        <v>68</v>
      </c>
      <c r="B7" s="37">
        <f>52*B4</f>
        <v>56.284800000000004</v>
      </c>
      <c r="C7" s="18" t="s">
        <v>69</v>
      </c>
    </row>
    <row r="8" spans="1:6" x14ac:dyDescent="0.25">
      <c r="A8" s="18" t="s">
        <v>70</v>
      </c>
      <c r="B8" s="37">
        <f>52*B4</f>
        <v>56.284800000000004</v>
      </c>
      <c r="C8" s="18" t="s">
        <v>71</v>
      </c>
    </row>
    <row r="9" spans="1:6" x14ac:dyDescent="0.25">
      <c r="A9" s="18" t="s">
        <v>72</v>
      </c>
      <c r="B9" s="37">
        <f>104*B4</f>
        <v>112.56960000000001</v>
      </c>
      <c r="C9" s="18" t="s">
        <v>73</v>
      </c>
    </row>
    <row r="10" spans="1:6" x14ac:dyDescent="0.25">
      <c r="A10" s="18" t="s">
        <v>74</v>
      </c>
      <c r="B10" s="37">
        <f>83.2*B4</f>
        <v>90.055680000000009</v>
      </c>
      <c r="C10" s="18" t="s">
        <v>75</v>
      </c>
    </row>
    <row r="11" spans="1:6" x14ac:dyDescent="0.25">
      <c r="A11" s="18" t="s">
        <v>76</v>
      </c>
      <c r="B11" s="37">
        <f>36.4*B4</f>
        <v>39.399360000000001</v>
      </c>
      <c r="C11" s="18" t="s">
        <v>77</v>
      </c>
    </row>
    <row r="12" spans="1:6" x14ac:dyDescent="0.25">
      <c r="A12" s="18" t="s">
        <v>78</v>
      </c>
      <c r="B12" s="37">
        <f>57.2*B4</f>
        <v>61.913280000000007</v>
      </c>
      <c r="C12" s="18" t="s">
        <v>78</v>
      </c>
    </row>
    <row r="13" spans="1:6" x14ac:dyDescent="0.25">
      <c r="A13" s="18" t="s">
        <v>79</v>
      </c>
      <c r="B13" s="37">
        <f>62.4*B4</f>
        <v>67.541759999999996</v>
      </c>
      <c r="C13" s="18" t="s">
        <v>80</v>
      </c>
    </row>
    <row r="14" spans="1:6" x14ac:dyDescent="0.25">
      <c r="A14" s="18" t="s">
        <v>81</v>
      </c>
      <c r="B14" s="37">
        <f>52*B4</f>
        <v>56.284800000000004</v>
      </c>
      <c r="C14" s="18" t="s">
        <v>82</v>
      </c>
    </row>
    <row r="15" spans="1:6" x14ac:dyDescent="0.25">
      <c r="A15" s="18" t="s">
        <v>83</v>
      </c>
      <c r="B15" s="37">
        <v>50.19</v>
      </c>
      <c r="C15" s="18" t="s">
        <v>84</v>
      </c>
    </row>
    <row r="16" spans="1:6" x14ac:dyDescent="0.25">
      <c r="A16" s="18" t="s">
        <v>85</v>
      </c>
      <c r="B16" s="37">
        <f>62.4*B4</f>
        <v>67.541759999999996</v>
      </c>
      <c r="C16" s="18" t="s">
        <v>86</v>
      </c>
    </row>
    <row r="17" spans="1:6" x14ac:dyDescent="0.25">
      <c r="A17" s="18" t="s">
        <v>87</v>
      </c>
      <c r="B17" s="37">
        <f>104*B4</f>
        <v>112.56960000000001</v>
      </c>
      <c r="C17" s="18" t="s">
        <v>88</v>
      </c>
    </row>
    <row r="18" spans="1:6" x14ac:dyDescent="0.25">
      <c r="A18" s="18" t="s">
        <v>89</v>
      </c>
      <c r="B18" s="37">
        <f>62.4*B4</f>
        <v>67.541759999999996</v>
      </c>
      <c r="C18" s="18" t="s">
        <v>90</v>
      </c>
    </row>
    <row r="19" spans="1:6" x14ac:dyDescent="0.25">
      <c r="A19" s="18" t="s">
        <v>91</v>
      </c>
      <c r="B19" s="37">
        <f>83.2*B4</f>
        <v>90.055680000000009</v>
      </c>
      <c r="C19" s="18" t="s">
        <v>92</v>
      </c>
    </row>
    <row r="20" spans="1:6" x14ac:dyDescent="0.25">
      <c r="A20" s="38" t="s">
        <v>93</v>
      </c>
      <c r="B20" s="39"/>
    </row>
    <row r="21" spans="1:6" ht="13" x14ac:dyDescent="0.3">
      <c r="A21" s="14" t="s">
        <v>94</v>
      </c>
      <c r="B21" s="40"/>
    </row>
    <row r="22" spans="1:6" x14ac:dyDescent="0.25">
      <c r="A22" s="18" t="s">
        <v>95</v>
      </c>
      <c r="B22" s="40"/>
      <c r="C22" s="41">
        <v>0.1</v>
      </c>
    </row>
    <row r="23" spans="1:6" x14ac:dyDescent="0.25">
      <c r="A23" s="18" t="s">
        <v>96</v>
      </c>
      <c r="B23" s="40"/>
      <c r="C23" s="42" t="s">
        <v>97</v>
      </c>
    </row>
    <row r="24" spans="1:6" x14ac:dyDescent="0.25">
      <c r="A24" s="18" t="s">
        <v>98</v>
      </c>
      <c r="B24" s="40"/>
      <c r="C24" s="41">
        <v>0.21</v>
      </c>
    </row>
    <row r="25" spans="1:6" x14ac:dyDescent="0.25">
      <c r="A25" s="18" t="s">
        <v>99</v>
      </c>
      <c r="B25" s="40"/>
      <c r="C25" s="41">
        <v>0.09</v>
      </c>
    </row>
    <row r="26" spans="1:6" ht="63" x14ac:dyDescent="0.3">
      <c r="A26" s="14" t="s">
        <v>100</v>
      </c>
      <c r="B26" s="37">
        <f>1040*B4</f>
        <v>1125.6960000000001</v>
      </c>
      <c r="C26" s="18" t="s">
        <v>101</v>
      </c>
      <c r="D26" s="26" t="s">
        <v>102</v>
      </c>
    </row>
    <row r="27" spans="1:6" x14ac:dyDescent="0.25">
      <c r="A27" t="s">
        <v>103</v>
      </c>
      <c r="B27" s="37">
        <f>260*B4</f>
        <v>281.42400000000004</v>
      </c>
      <c r="C27" t="s">
        <v>104</v>
      </c>
      <c r="D27" t="s">
        <v>105</v>
      </c>
    </row>
    <row r="28" spans="1:6" ht="37.5" x14ac:dyDescent="0.25">
      <c r="A28" s="18" t="s">
        <v>106</v>
      </c>
      <c r="B28" s="37">
        <f>68*B4</f>
        <v>73.603200000000001</v>
      </c>
      <c r="D28" s="26" t="s">
        <v>107</v>
      </c>
    </row>
    <row r="29" spans="1:6" ht="37.5" x14ac:dyDescent="0.25">
      <c r="A29" s="29" t="s">
        <v>108</v>
      </c>
      <c r="B29" s="43">
        <f>312*B4</f>
        <v>337.7088</v>
      </c>
      <c r="C29" s="44"/>
      <c r="D29" s="26" t="s">
        <v>109</v>
      </c>
    </row>
    <row r="31" spans="1:6" ht="15.5" x14ac:dyDescent="0.35">
      <c r="A31" s="183" t="s">
        <v>110</v>
      </c>
      <c r="B31" s="183"/>
    </row>
    <row r="32" spans="1:6" x14ac:dyDescent="0.25">
      <c r="A32" s="184"/>
      <c r="B32" s="184"/>
      <c r="D32" s="20" t="s">
        <v>111</v>
      </c>
      <c r="E32" s="20" t="s">
        <v>112</v>
      </c>
      <c r="F32" s="20" t="s">
        <v>113</v>
      </c>
    </row>
    <row r="33" spans="1:8" ht="13" x14ac:dyDescent="0.3">
      <c r="A33" s="185" t="s">
        <v>114</v>
      </c>
      <c r="B33" s="185"/>
      <c r="D33" s="45">
        <v>0.3</v>
      </c>
      <c r="E33" s="45">
        <v>0.3</v>
      </c>
      <c r="F33" s="45">
        <v>0.4</v>
      </c>
    </row>
    <row r="34" spans="1:8" s="1" customFormat="1" ht="39.75" customHeight="1" x14ac:dyDescent="0.25">
      <c r="A34" s="186" t="s">
        <v>115</v>
      </c>
      <c r="B34" s="186"/>
      <c r="D34" s="46"/>
      <c r="E34" s="46"/>
      <c r="F34" s="46"/>
    </row>
    <row r="35" spans="1:8" ht="27" customHeight="1" x14ac:dyDescent="0.25">
      <c r="A35" s="181" t="s">
        <v>116</v>
      </c>
      <c r="B35" s="181"/>
      <c r="C35" s="47">
        <v>2.5000000000000001E-2</v>
      </c>
      <c r="D35" s="45">
        <f>C35*15</f>
        <v>0.375</v>
      </c>
      <c r="E35" s="45">
        <f>C35*25</f>
        <v>0.625</v>
      </c>
      <c r="F35" s="45"/>
    </row>
    <row r="36" spans="1:8" ht="25.5" customHeight="1" x14ac:dyDescent="0.25">
      <c r="A36" s="181" t="s">
        <v>117</v>
      </c>
      <c r="B36" s="181"/>
      <c r="C36" s="47">
        <v>1.2500000000000001E-2</v>
      </c>
      <c r="D36" s="45"/>
      <c r="E36" s="45">
        <f>C36*5</f>
        <v>6.25E-2</v>
      </c>
      <c r="F36" s="45"/>
    </row>
    <row r="37" spans="1:8" ht="12.75" customHeight="1" x14ac:dyDescent="0.25">
      <c r="A37" s="181" t="s">
        <v>118</v>
      </c>
      <c r="B37" s="181"/>
      <c r="C37" s="48">
        <v>6.2500000000000003E-3</v>
      </c>
      <c r="D37" s="45"/>
      <c r="E37" s="45"/>
      <c r="F37" s="45">
        <f>C37*100</f>
        <v>0.625</v>
      </c>
    </row>
    <row r="38" spans="1:8" ht="32.15" customHeight="1" x14ac:dyDescent="0.3">
      <c r="A38" s="182" t="s">
        <v>119</v>
      </c>
      <c r="B38" s="182"/>
      <c r="D38" s="49">
        <f>SUM(D33:D37)</f>
        <v>0.67500000000000004</v>
      </c>
      <c r="E38" s="49">
        <f>SUM(E33:E37)</f>
        <v>0.98750000000000004</v>
      </c>
      <c r="F38" s="49">
        <f>SUM(F33:F37)</f>
        <v>1.0249999999999999</v>
      </c>
    </row>
    <row r="39" spans="1:8" x14ac:dyDescent="0.25">
      <c r="A39" s="181"/>
      <c r="B39" s="181"/>
    </row>
    <row r="40" spans="1:8" ht="41.25" customHeight="1" x14ac:dyDescent="0.25">
      <c r="A40" s="181" t="s">
        <v>120</v>
      </c>
      <c r="B40" s="181"/>
      <c r="E40" s="50"/>
      <c r="H40" s="50"/>
    </row>
    <row r="41" spans="1:8" x14ac:dyDescent="0.25">
      <c r="A41" s="181"/>
      <c r="B41" s="181"/>
    </row>
    <row r="42" spans="1:8" ht="50.15" customHeight="1" x14ac:dyDescent="0.35">
      <c r="A42" s="180" t="s">
        <v>121</v>
      </c>
      <c r="B42" s="180"/>
      <c r="C42" s="51" t="s">
        <v>122</v>
      </c>
      <c r="D42" s="51" t="s">
        <v>123</v>
      </c>
    </row>
    <row r="43" spans="1:8" ht="33" customHeight="1" x14ac:dyDescent="0.3">
      <c r="A43" s="178" t="s">
        <v>124</v>
      </c>
      <c r="B43" s="178"/>
      <c r="C43" s="52">
        <f>364*B4</f>
        <v>393.99360000000001</v>
      </c>
      <c r="D43" s="52">
        <f>520*B4</f>
        <v>562.84800000000007</v>
      </c>
    </row>
    <row r="44" spans="1:8" ht="51.75" customHeight="1" x14ac:dyDescent="0.3">
      <c r="A44" s="178" t="s">
        <v>125</v>
      </c>
      <c r="B44" s="178"/>
      <c r="C44" s="52">
        <f>208*B4</f>
        <v>225.13920000000002</v>
      </c>
      <c r="D44" s="52">
        <f>312*B4</f>
        <v>337.7088</v>
      </c>
    </row>
    <row r="45" spans="1:8" ht="38.25" customHeight="1" x14ac:dyDescent="0.3">
      <c r="A45" s="178" t="s">
        <v>126</v>
      </c>
      <c r="B45" s="178"/>
      <c r="C45" s="52">
        <v>0</v>
      </c>
      <c r="D45" s="52">
        <f>68*B4</f>
        <v>73.603200000000001</v>
      </c>
    </row>
    <row r="46" spans="1:8" ht="13" customHeight="1" x14ac:dyDescent="0.3">
      <c r="A46" s="178" t="s">
        <v>127</v>
      </c>
      <c r="B46" s="178"/>
      <c r="C46" s="52">
        <f>52*B4</f>
        <v>56.284800000000004</v>
      </c>
      <c r="D46" s="52">
        <f>52*B4</f>
        <v>56.284800000000004</v>
      </c>
    </row>
    <row r="47" spans="1:8" ht="13" customHeight="1" x14ac:dyDescent="0.3">
      <c r="A47" s="178" t="s">
        <v>128</v>
      </c>
      <c r="B47" s="178"/>
      <c r="C47" s="52"/>
      <c r="D47" s="52" t="s">
        <v>129</v>
      </c>
    </row>
    <row r="48" spans="1:8" ht="25.5" customHeight="1" x14ac:dyDescent="0.3">
      <c r="A48" s="178" t="s">
        <v>130</v>
      </c>
      <c r="B48" s="178"/>
      <c r="C48" s="52">
        <v>0</v>
      </c>
      <c r="D48" s="52">
        <f>16*B4</f>
        <v>17.3184</v>
      </c>
    </row>
    <row r="49" spans="1:4" ht="25.5" customHeight="1" x14ac:dyDescent="0.3">
      <c r="A49" s="178" t="s">
        <v>131</v>
      </c>
      <c r="B49" s="178"/>
      <c r="C49" s="52">
        <v>0</v>
      </c>
      <c r="D49" s="52">
        <f>21*B4</f>
        <v>22.730399999999999</v>
      </c>
    </row>
    <row r="50" spans="1:4" ht="25.5" customHeight="1" x14ac:dyDescent="0.3">
      <c r="A50" s="178" t="s">
        <v>132</v>
      </c>
      <c r="B50" s="178"/>
      <c r="C50" s="52">
        <f>104*B4</f>
        <v>112.56960000000001</v>
      </c>
      <c r="D50" s="52">
        <f>104*B4</f>
        <v>112.56960000000001</v>
      </c>
    </row>
    <row r="51" spans="1:4" x14ac:dyDescent="0.25">
      <c r="A51" s="179"/>
      <c r="B51" s="179"/>
    </row>
    <row r="52" spans="1:4" ht="48" customHeight="1" x14ac:dyDescent="0.35">
      <c r="A52" s="180" t="s">
        <v>133</v>
      </c>
      <c r="B52" s="180"/>
      <c r="C52" s="53" t="s">
        <v>134</v>
      </c>
    </row>
    <row r="53" spans="1:4" ht="48" customHeight="1" x14ac:dyDescent="0.3">
      <c r="A53" s="178" t="s">
        <v>124</v>
      </c>
      <c r="B53" s="178"/>
      <c r="C53" s="52">
        <f>364*B4</f>
        <v>393.99360000000001</v>
      </c>
    </row>
    <row r="54" spans="1:4" ht="25.5" customHeight="1" x14ac:dyDescent="0.3">
      <c r="A54" s="178" t="s">
        <v>135</v>
      </c>
      <c r="B54" s="178"/>
      <c r="C54" s="52">
        <f>21*B4</f>
        <v>22.730399999999999</v>
      </c>
    </row>
    <row r="55" spans="1:4" ht="25.5" customHeight="1" x14ac:dyDescent="0.3">
      <c r="A55" s="178" t="s">
        <v>136</v>
      </c>
      <c r="B55" s="178"/>
      <c r="C55" s="52">
        <f>32*B4</f>
        <v>34.636800000000001</v>
      </c>
    </row>
    <row r="56" spans="1:4" ht="22.5" customHeight="1" x14ac:dyDescent="0.3">
      <c r="A56" s="178" t="s">
        <v>137</v>
      </c>
      <c r="B56" s="178"/>
      <c r="C56" s="52">
        <f>78*B4</f>
        <v>84.427199999999999</v>
      </c>
    </row>
    <row r="57" spans="1:4" ht="25.5" customHeight="1" x14ac:dyDescent="0.3">
      <c r="A57" s="178" t="s">
        <v>138</v>
      </c>
      <c r="B57" s="178"/>
      <c r="C57" s="52">
        <f>26*B4</f>
        <v>28.142400000000002</v>
      </c>
    </row>
    <row r="58" spans="1:4" x14ac:dyDescent="0.25">
      <c r="A58" s="179"/>
      <c r="B58" s="179"/>
    </row>
    <row r="59" spans="1:4" x14ac:dyDescent="0.25">
      <c r="A59" s="177"/>
      <c r="B59" s="177"/>
    </row>
    <row r="60" spans="1:4" x14ac:dyDescent="0.25">
      <c r="A60" s="177"/>
      <c r="B60" s="177"/>
    </row>
    <row r="61" spans="1:4" x14ac:dyDescent="0.25">
      <c r="A61" s="177"/>
      <c r="B61" s="177"/>
    </row>
  </sheetData>
  <mergeCells count="31">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61:B61"/>
    <mergeCell ref="A56:B56"/>
    <mergeCell ref="A57:B57"/>
    <mergeCell ref="A58:B58"/>
    <mergeCell ref="A59:B59"/>
    <mergeCell ref="A60:B60"/>
  </mergeCells>
  <printOptions gridLines="1"/>
  <pageMargins left="0.70833333333333304" right="0.70833333333333304" top="0.74791666666666701" bottom="0.74861111111111101" header="0.51180555555555496" footer="0.31527777777777799"/>
  <pageSetup paperSize="9" firstPageNumber="0" fitToHeight="2" orientation="landscape" horizontalDpi="300" verticalDpi="300"/>
  <headerFooter>
    <oddFooter>&amp;L&amp;8&amp;F
Copyright © 2022 by KCE Trials. All rights reserved.&amp;C&amp;8&amp;P/&amp;N&amp;R&amp;8&amp;A
Budget tool v4.1</oddFooter>
  </headerFooter>
  <rowBreaks count="1" manualBreakCount="1">
    <brk id="40" max="16383" man="1"/>
  </rowBreaks>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J96"/>
  <sheetViews>
    <sheetView zoomScaleNormal="100" workbookViewId="0">
      <selection activeCell="H23" sqref="H23"/>
    </sheetView>
  </sheetViews>
  <sheetFormatPr defaultColWidth="9.1796875" defaultRowHeight="12.5" outlineLevelRow="1" x14ac:dyDescent="0.25"/>
  <cols>
    <col min="1" max="1" width="4.7265625" style="54" customWidth="1"/>
    <col min="2" max="2" width="54" style="55" customWidth="1"/>
    <col min="3" max="3" width="12" style="56" customWidth="1"/>
    <col min="4" max="4" width="8.26953125" style="57" customWidth="1"/>
    <col min="5" max="5" width="10" style="57" customWidth="1"/>
    <col min="6" max="6" width="10.81640625" style="58" customWidth="1"/>
    <col min="7" max="7" width="14.1796875" style="58" customWidth="1"/>
    <col min="8" max="8" width="12.54296875" style="58" customWidth="1"/>
    <col min="9" max="9" width="45.453125" style="59" customWidth="1"/>
    <col min="10" max="10" width="14.7265625" style="59" customWidth="1"/>
    <col min="11" max="14" width="13" style="55" customWidth="1"/>
    <col min="15" max="15" width="31.1796875" style="55" customWidth="1"/>
    <col min="16" max="1024" width="9.1796875" style="55"/>
  </cols>
  <sheetData>
    <row r="1" spans="1:15" s="65" customFormat="1" ht="26" x14ac:dyDescent="0.3">
      <c r="A1" s="60"/>
      <c r="B1" s="61"/>
      <c r="C1" s="62" t="s">
        <v>139</v>
      </c>
      <c r="D1" s="63" t="s">
        <v>140</v>
      </c>
      <c r="E1" s="63" t="s">
        <v>141</v>
      </c>
      <c r="F1" s="64" t="s">
        <v>142</v>
      </c>
      <c r="G1" s="64" t="s">
        <v>143</v>
      </c>
      <c r="H1" s="64" t="s">
        <v>144</v>
      </c>
      <c r="I1" s="63" t="s">
        <v>145</v>
      </c>
      <c r="J1" s="63" t="s">
        <v>146</v>
      </c>
      <c r="K1" s="63" t="s">
        <v>147</v>
      </c>
      <c r="L1" s="63" t="s">
        <v>148</v>
      </c>
      <c r="M1" s="63" t="s">
        <v>149</v>
      </c>
      <c r="N1" s="63" t="s">
        <v>150</v>
      </c>
      <c r="O1" s="63" t="s">
        <v>151</v>
      </c>
    </row>
    <row r="2" spans="1:15" ht="20.25" customHeight="1" x14ac:dyDescent="0.4">
      <c r="A2" s="66" t="s">
        <v>152</v>
      </c>
      <c r="B2" s="67"/>
      <c r="C2" s="68" t="str">
        <f>'Study Parameters'!B7</f>
        <v>Number</v>
      </c>
      <c r="D2" s="68"/>
      <c r="E2" s="68"/>
      <c r="F2" s="69"/>
      <c r="G2" s="69"/>
      <c r="H2" s="69"/>
      <c r="I2" s="70"/>
      <c r="J2" s="70" t="str">
        <f>'Study Parameters'!D1</f>
        <v>DD/MM/YYYY</v>
      </c>
      <c r="K2" s="70"/>
      <c r="L2" s="70"/>
      <c r="M2" s="70"/>
      <c r="N2" s="70"/>
    </row>
    <row r="3" spans="1:15" ht="15.5" x14ac:dyDescent="0.35">
      <c r="A3" s="71">
        <v>1</v>
      </c>
      <c r="B3" s="71" t="s">
        <v>153</v>
      </c>
      <c r="C3" s="72"/>
      <c r="D3" s="73"/>
      <c r="E3" s="73"/>
      <c r="F3" s="74"/>
      <c r="G3" s="75"/>
      <c r="H3" s="75"/>
      <c r="I3" s="76"/>
      <c r="J3" s="76"/>
      <c r="K3" s="76"/>
      <c r="L3" s="76"/>
      <c r="M3" s="76"/>
      <c r="N3" s="76"/>
    </row>
    <row r="4" spans="1:15" s="65" customFormat="1" ht="80.5" outlineLevel="1" x14ac:dyDescent="0.25">
      <c r="A4" s="60" t="s">
        <v>154</v>
      </c>
      <c r="B4" s="77" t="s">
        <v>155</v>
      </c>
      <c r="C4" s="78"/>
      <c r="D4" s="79"/>
      <c r="E4" s="79" t="s">
        <v>156</v>
      </c>
      <c r="F4" s="80">
        <f>IF('Study Parameters'!C47=3,50000,40000)*'Budget Parameters'!B4</f>
        <v>43296</v>
      </c>
      <c r="G4" s="80">
        <f>F4</f>
        <v>43296</v>
      </c>
      <c r="H4" s="80">
        <f>F4</f>
        <v>43296</v>
      </c>
      <c r="I4" s="81"/>
      <c r="J4" s="81"/>
      <c r="K4" s="82">
        <v>0</v>
      </c>
      <c r="L4" s="82">
        <v>0</v>
      </c>
      <c r="M4" s="83">
        <f t="shared" ref="M4:M9" si="0">H4*K4</f>
        <v>0</v>
      </c>
      <c r="N4" s="83">
        <f t="shared" ref="N4:N9" si="1">$H4*L4</f>
        <v>0</v>
      </c>
    </row>
    <row r="5" spans="1:15" s="65" customFormat="1" outlineLevel="1" x14ac:dyDescent="0.25">
      <c r="A5" s="60" t="s">
        <v>157</v>
      </c>
      <c r="B5" s="77" t="s">
        <v>158</v>
      </c>
      <c r="C5" s="78"/>
      <c r="D5" s="79"/>
      <c r="E5" s="79" t="s">
        <v>156</v>
      </c>
      <c r="F5" s="84">
        <f>2080*'Budget Parameters'!B4</f>
        <v>2251.3920000000003</v>
      </c>
      <c r="G5" s="80">
        <f>F5</f>
        <v>2251.3920000000003</v>
      </c>
      <c r="H5" s="80">
        <f>F5</f>
        <v>2251.3920000000003</v>
      </c>
      <c r="I5" s="81"/>
      <c r="J5" s="81"/>
      <c r="K5" s="82">
        <v>0</v>
      </c>
      <c r="L5" s="82">
        <v>0</v>
      </c>
      <c r="M5" s="83">
        <f t="shared" si="0"/>
        <v>0</v>
      </c>
      <c r="N5" s="83">
        <f t="shared" si="1"/>
        <v>0</v>
      </c>
    </row>
    <row r="6" spans="1:15" s="65" customFormat="1" outlineLevel="1" x14ac:dyDescent="0.25">
      <c r="A6" s="60" t="s">
        <v>159</v>
      </c>
      <c r="B6" s="85" t="s">
        <v>160</v>
      </c>
      <c r="C6" s="78"/>
      <c r="D6" s="86">
        <f>'Study Parameters'!C24*0.5</f>
        <v>0</v>
      </c>
      <c r="E6" s="79" t="s">
        <v>156</v>
      </c>
      <c r="F6" s="80">
        <f>IF('Study Parameters'!C26="yes",1040,780)*'Budget Parameters'!B4</f>
        <v>844.27200000000005</v>
      </c>
      <c r="G6" s="80">
        <f>F6*D6</f>
        <v>0</v>
      </c>
      <c r="H6" s="80">
        <f>G6</f>
        <v>0</v>
      </c>
      <c r="I6" s="87" t="s">
        <v>161</v>
      </c>
      <c r="J6" s="87"/>
      <c r="K6" s="82">
        <v>0</v>
      </c>
      <c r="L6" s="82">
        <v>0</v>
      </c>
      <c r="M6" s="83">
        <f t="shared" si="0"/>
        <v>0</v>
      </c>
      <c r="N6" s="83">
        <f t="shared" si="1"/>
        <v>0</v>
      </c>
    </row>
    <row r="7" spans="1:15" s="65" customFormat="1" ht="25" outlineLevel="1" x14ac:dyDescent="0.25">
      <c r="A7" s="60" t="s">
        <v>162</v>
      </c>
      <c r="B7" s="85" t="s">
        <v>163</v>
      </c>
      <c r="C7" s="78"/>
      <c r="D7" s="86">
        <f>'Study Parameters'!C24*0.5</f>
        <v>0</v>
      </c>
      <c r="E7" s="79" t="s">
        <v>156</v>
      </c>
      <c r="F7" s="84">
        <f>260*'Budget Parameters'!B4</f>
        <v>281.42400000000004</v>
      </c>
      <c r="G7" s="80">
        <f>F7*D7</f>
        <v>0</v>
      </c>
      <c r="H7" s="80">
        <f>G7</f>
        <v>0</v>
      </c>
      <c r="I7" s="87" t="s">
        <v>164</v>
      </c>
      <c r="J7" s="88"/>
      <c r="K7" s="82">
        <v>0</v>
      </c>
      <c r="L7" s="82">
        <v>0</v>
      </c>
      <c r="M7" s="83">
        <f t="shared" si="0"/>
        <v>0</v>
      </c>
      <c r="N7" s="83">
        <f t="shared" si="1"/>
        <v>0</v>
      </c>
    </row>
    <row r="8" spans="1:15" s="65" customFormat="1" ht="37.5" outlineLevel="1" x14ac:dyDescent="0.25">
      <c r="A8" s="60" t="s">
        <v>165</v>
      </c>
      <c r="B8" s="89" t="s">
        <v>166</v>
      </c>
      <c r="C8" s="78"/>
      <c r="D8" s="86">
        <f>('Study Parameters'!C24-1)</f>
        <v>-1</v>
      </c>
      <c r="E8" s="79" t="s">
        <v>156</v>
      </c>
      <c r="F8" s="80">
        <f>IF('Study Parameters'!C25="yes",208,IF('Study Parameters'!C26="yes",1040,520))*'Budget Parameters'!B4</f>
        <v>562.84800000000007</v>
      </c>
      <c r="G8" s="80">
        <f>F8*D8</f>
        <v>-562.84800000000007</v>
      </c>
      <c r="H8" s="80">
        <f>G8</f>
        <v>-562.84800000000007</v>
      </c>
      <c r="I8" s="87" t="s">
        <v>167</v>
      </c>
      <c r="J8" s="87"/>
      <c r="K8" s="82">
        <v>0</v>
      </c>
      <c r="L8" s="82">
        <v>0</v>
      </c>
      <c r="M8" s="83">
        <f t="shared" si="0"/>
        <v>0</v>
      </c>
      <c r="N8" s="83">
        <f t="shared" si="1"/>
        <v>0</v>
      </c>
    </row>
    <row r="9" spans="1:15" s="65" customFormat="1" outlineLevel="1" x14ac:dyDescent="0.25">
      <c r="A9" s="60" t="s">
        <v>168</v>
      </c>
      <c r="B9" s="55" t="s">
        <v>169</v>
      </c>
      <c r="C9" s="78"/>
      <c r="D9" s="79">
        <v>1</v>
      </c>
      <c r="E9" s="79" t="s">
        <v>156</v>
      </c>
      <c r="F9" s="80">
        <f>(3000+(200*'Study Parameters'!D37))*'Budget Parameters'!B4</f>
        <v>3247.2000000000003</v>
      </c>
      <c r="G9" s="80">
        <f>F9</f>
        <v>3247.2000000000003</v>
      </c>
      <c r="H9" s="80">
        <f>G9</f>
        <v>3247.2000000000003</v>
      </c>
      <c r="I9" s="87" t="s">
        <v>170</v>
      </c>
      <c r="K9" s="82">
        <v>0</v>
      </c>
      <c r="L9" s="82">
        <v>0</v>
      </c>
      <c r="M9" s="83">
        <f t="shared" si="0"/>
        <v>0</v>
      </c>
      <c r="N9" s="83">
        <f t="shared" si="1"/>
        <v>0</v>
      </c>
    </row>
    <row r="10" spans="1:15" ht="50.5" x14ac:dyDescent="0.3">
      <c r="A10" s="90" t="s">
        <v>171</v>
      </c>
      <c r="B10" s="91"/>
      <c r="C10" s="92"/>
      <c r="D10" s="93"/>
      <c r="E10" s="93"/>
      <c r="F10" s="94"/>
      <c r="G10" s="95">
        <f>SUM(G4:G9)-20000</f>
        <v>28231.743999999999</v>
      </c>
      <c r="H10" s="95">
        <f>SUM(H4:H9)-20000</f>
        <v>28231.743999999999</v>
      </c>
      <c r="I10" s="96" t="s">
        <v>172</v>
      </c>
      <c r="J10" s="97"/>
      <c r="K10" s="97"/>
      <c r="L10" s="97"/>
      <c r="M10" s="98">
        <f>SUM(M4:M9)-20000</f>
        <v>-20000</v>
      </c>
      <c r="N10" s="98">
        <f>SUM(N4:N9)</f>
        <v>0</v>
      </c>
    </row>
    <row r="11" spans="1:15" ht="15.5" x14ac:dyDescent="0.35">
      <c r="A11" s="71">
        <v>2</v>
      </c>
      <c r="B11" s="71" t="s">
        <v>173</v>
      </c>
      <c r="C11" s="72"/>
      <c r="D11" s="79"/>
      <c r="E11" s="79"/>
      <c r="F11" s="99"/>
      <c r="G11" s="100"/>
      <c r="H11" s="100"/>
      <c r="I11" s="76"/>
      <c r="J11" s="76"/>
      <c r="M11" s="83"/>
      <c r="N11" s="83"/>
    </row>
    <row r="12" spans="1:15" ht="20.5" outlineLevel="1" x14ac:dyDescent="0.25">
      <c r="A12" s="101" t="s">
        <v>174</v>
      </c>
      <c r="B12" s="102" t="s">
        <v>175</v>
      </c>
      <c r="C12" s="78"/>
      <c r="D12" s="79">
        <v>1</v>
      </c>
      <c r="E12" s="79" t="s">
        <v>156</v>
      </c>
      <c r="F12" s="80">
        <f>IF('Study Parameters'!C27="no",2080,(IF(('Study Parameters'!C47&gt;2),5200,4160)))*'Budget Parameters'!B4</f>
        <v>4502.7840000000006</v>
      </c>
      <c r="G12" s="80">
        <f>D12*F12</f>
        <v>4502.7840000000006</v>
      </c>
      <c r="H12" s="80">
        <f t="shared" ref="H12:H20" si="2">G12</f>
        <v>4502.7840000000006</v>
      </c>
      <c r="I12" s="87"/>
      <c r="J12" s="87"/>
      <c r="K12" s="82">
        <v>0</v>
      </c>
      <c r="L12" s="82">
        <v>0</v>
      </c>
      <c r="M12" s="83">
        <f t="shared" ref="M12:M20" si="3">K12*H12</f>
        <v>0</v>
      </c>
      <c r="N12" s="83">
        <f t="shared" ref="N12:N20" si="4">$H12*L12</f>
        <v>0</v>
      </c>
    </row>
    <row r="13" spans="1:15" ht="20.5" outlineLevel="1" x14ac:dyDescent="0.25">
      <c r="A13" s="101" t="s">
        <v>176</v>
      </c>
      <c r="B13" s="102" t="s">
        <v>177</v>
      </c>
      <c r="C13" s="78"/>
      <c r="D13" s="79">
        <v>1</v>
      </c>
      <c r="E13" s="79" t="s">
        <v>156</v>
      </c>
      <c r="F13" s="80">
        <f>IF('Study Parameters'!C27="no",2080,(IF(('Study Parameters'!C47&gt;2),5200,4160)))*'Budget Parameters'!B4</f>
        <v>4502.7840000000006</v>
      </c>
      <c r="G13" s="80">
        <f>D13*F13</f>
        <v>4502.7840000000006</v>
      </c>
      <c r="H13" s="80">
        <f t="shared" si="2"/>
        <v>4502.7840000000006</v>
      </c>
      <c r="I13" s="87"/>
      <c r="J13" s="87"/>
      <c r="K13" s="82">
        <v>0</v>
      </c>
      <c r="L13" s="82">
        <v>0</v>
      </c>
      <c r="M13" s="83">
        <f t="shared" si="3"/>
        <v>0</v>
      </c>
      <c r="N13" s="83">
        <f t="shared" si="4"/>
        <v>0</v>
      </c>
    </row>
    <row r="14" spans="1:15" outlineLevel="1" x14ac:dyDescent="0.25">
      <c r="A14" s="101" t="s">
        <v>178</v>
      </c>
      <c r="B14" s="89" t="s">
        <v>179</v>
      </c>
      <c r="C14" s="78"/>
      <c r="D14" s="86">
        <f>'Study Parameters'!C22</f>
        <v>0</v>
      </c>
      <c r="E14" s="79" t="s">
        <v>156</v>
      </c>
      <c r="F14" s="80">
        <f>IF('Study Parameters'!C27="yes",260,520)*'Budget Parameters'!B4</f>
        <v>562.84800000000007</v>
      </c>
      <c r="G14" s="80">
        <f>D14*F14</f>
        <v>0</v>
      </c>
      <c r="H14" s="80">
        <f t="shared" si="2"/>
        <v>0</v>
      </c>
      <c r="I14" s="87" t="s">
        <v>180</v>
      </c>
      <c r="J14" s="87"/>
      <c r="K14" s="82">
        <v>0</v>
      </c>
      <c r="L14" s="82">
        <v>0</v>
      </c>
      <c r="M14" s="83">
        <f t="shared" si="3"/>
        <v>0</v>
      </c>
      <c r="N14" s="83">
        <f t="shared" si="4"/>
        <v>0</v>
      </c>
    </row>
    <row r="15" spans="1:15" outlineLevel="1" x14ac:dyDescent="0.25">
      <c r="A15" s="101" t="s">
        <v>181</v>
      </c>
      <c r="B15" s="89" t="s">
        <v>182</v>
      </c>
      <c r="C15" s="78"/>
      <c r="D15" s="86">
        <f>'Study Parameters'!C23</f>
        <v>0</v>
      </c>
      <c r="E15" s="79" t="s">
        <v>156</v>
      </c>
      <c r="F15" s="80">
        <f>IF('Study Parameters'!C27="yes",260,520)*'Budget Parameters'!B4</f>
        <v>562.84800000000007</v>
      </c>
      <c r="G15" s="80">
        <f>D15*F15</f>
        <v>0</v>
      </c>
      <c r="H15" s="80">
        <f t="shared" si="2"/>
        <v>0</v>
      </c>
      <c r="I15" s="87" t="s">
        <v>180</v>
      </c>
      <c r="J15" s="87"/>
      <c r="K15" s="82">
        <v>0</v>
      </c>
      <c r="L15" s="82">
        <v>0</v>
      </c>
      <c r="M15" s="83">
        <f t="shared" si="3"/>
        <v>0</v>
      </c>
      <c r="N15" s="83">
        <f t="shared" si="4"/>
        <v>0</v>
      </c>
    </row>
    <row r="16" spans="1:15" outlineLevel="1" x14ac:dyDescent="0.25">
      <c r="A16" s="101" t="s">
        <v>183</v>
      </c>
      <c r="B16" s="89" t="s">
        <v>184</v>
      </c>
      <c r="C16" s="78"/>
      <c r="D16" s="86">
        <f>'Study Parameters'!D37</f>
        <v>0</v>
      </c>
      <c r="E16" s="79" t="s">
        <v>156</v>
      </c>
      <c r="F16" s="80">
        <f>IF('Study Parameters'!C27="yes",2080,1040)*'Budget Parameters'!B4</f>
        <v>1125.6960000000001</v>
      </c>
      <c r="G16" s="80">
        <f>F16*D16</f>
        <v>0</v>
      </c>
      <c r="H16" s="80">
        <f t="shared" si="2"/>
        <v>0</v>
      </c>
      <c r="I16" s="87" t="s">
        <v>180</v>
      </c>
      <c r="J16" s="87"/>
      <c r="K16" s="82">
        <v>0</v>
      </c>
      <c r="L16" s="82">
        <v>0</v>
      </c>
      <c r="M16" s="83">
        <f t="shared" si="3"/>
        <v>0</v>
      </c>
      <c r="N16" s="83">
        <f t="shared" si="4"/>
        <v>0</v>
      </c>
    </row>
    <row r="17" spans="1:14" outlineLevel="1" x14ac:dyDescent="0.25">
      <c r="A17" s="101" t="s">
        <v>185</v>
      </c>
      <c r="B17" s="89" t="s">
        <v>186</v>
      </c>
      <c r="C17" s="78"/>
      <c r="D17" s="86">
        <f>IF('Study Parameters'!C27="yes",1,0)</f>
        <v>0</v>
      </c>
      <c r="E17" s="79" t="s">
        <v>156</v>
      </c>
      <c r="F17" s="84">
        <f>1000*'Budget Parameters'!B4</f>
        <v>1082.4000000000001</v>
      </c>
      <c r="G17" s="80">
        <f>F17*D17</f>
        <v>0</v>
      </c>
      <c r="H17" s="80">
        <f t="shared" si="2"/>
        <v>0</v>
      </c>
      <c r="I17" s="87" t="s">
        <v>187</v>
      </c>
      <c r="J17" s="87"/>
      <c r="K17" s="82">
        <v>0</v>
      </c>
      <c r="L17" s="82">
        <v>0</v>
      </c>
      <c r="M17" s="83">
        <f t="shared" si="3"/>
        <v>0</v>
      </c>
      <c r="N17" s="83">
        <f t="shared" si="4"/>
        <v>0</v>
      </c>
    </row>
    <row r="18" spans="1:14" outlineLevel="1" x14ac:dyDescent="0.25">
      <c r="A18" s="101" t="s">
        <v>188</v>
      </c>
      <c r="B18" s="89" t="s">
        <v>189</v>
      </c>
      <c r="C18" s="78"/>
      <c r="D18" s="86"/>
      <c r="E18" s="79" t="s">
        <v>156</v>
      </c>
      <c r="F18" s="84"/>
      <c r="G18" s="80">
        <f>F18</f>
        <v>0</v>
      </c>
      <c r="H18" s="80">
        <f t="shared" si="2"/>
        <v>0</v>
      </c>
      <c r="I18" s="87" t="s">
        <v>190</v>
      </c>
      <c r="J18" s="87"/>
      <c r="K18" s="82">
        <v>0</v>
      </c>
      <c r="L18" s="82">
        <v>0</v>
      </c>
      <c r="M18" s="83">
        <f t="shared" si="3"/>
        <v>0</v>
      </c>
      <c r="N18" s="83">
        <f t="shared" si="4"/>
        <v>0</v>
      </c>
    </row>
    <row r="19" spans="1:14" outlineLevel="1" x14ac:dyDescent="0.25">
      <c r="A19" s="101" t="s">
        <v>191</v>
      </c>
      <c r="B19" s="89" t="s">
        <v>192</v>
      </c>
      <c r="C19" s="78"/>
      <c r="D19" s="86"/>
      <c r="E19" s="79" t="s">
        <v>156</v>
      </c>
      <c r="F19" s="84"/>
      <c r="G19" s="80">
        <f>F19</f>
        <v>0</v>
      </c>
      <c r="H19" s="80">
        <f t="shared" si="2"/>
        <v>0</v>
      </c>
      <c r="I19" s="87" t="s">
        <v>190</v>
      </c>
      <c r="J19" s="87"/>
      <c r="K19" s="82">
        <v>0</v>
      </c>
      <c r="L19" s="82">
        <v>0</v>
      </c>
      <c r="M19" s="83">
        <f t="shared" si="3"/>
        <v>0</v>
      </c>
      <c r="N19" s="83">
        <f t="shared" si="4"/>
        <v>0</v>
      </c>
    </row>
    <row r="20" spans="1:14" ht="37.5" outlineLevel="1" x14ac:dyDescent="0.25">
      <c r="A20" s="101" t="s">
        <v>193</v>
      </c>
      <c r="B20" s="89" t="s">
        <v>194</v>
      </c>
      <c r="C20" s="78"/>
      <c r="D20" s="79"/>
      <c r="E20" s="79" t="s">
        <v>156</v>
      </c>
      <c r="F20" s="80"/>
      <c r="G20" s="84">
        <f>F20</f>
        <v>0</v>
      </c>
      <c r="H20" s="84">
        <f t="shared" si="2"/>
        <v>0</v>
      </c>
      <c r="I20" s="87" t="s">
        <v>195</v>
      </c>
      <c r="J20" s="81"/>
      <c r="K20" s="82">
        <v>0</v>
      </c>
      <c r="L20" s="82">
        <v>0</v>
      </c>
      <c r="M20" s="83">
        <f t="shared" si="3"/>
        <v>0</v>
      </c>
      <c r="N20" s="83">
        <f t="shared" si="4"/>
        <v>0</v>
      </c>
    </row>
    <row r="21" spans="1:14" ht="13.75" customHeight="1" x14ac:dyDescent="0.3">
      <c r="A21" s="90" t="s">
        <v>171</v>
      </c>
      <c r="B21" s="91"/>
      <c r="C21" s="92"/>
      <c r="D21" s="93"/>
      <c r="E21" s="93"/>
      <c r="F21" s="103"/>
      <c r="G21" s="95">
        <f>SUM(G12:G20)</f>
        <v>9005.5680000000011</v>
      </c>
      <c r="H21" s="95">
        <f>SUM(H12:H20)</f>
        <v>9005.5680000000011</v>
      </c>
      <c r="I21" s="97"/>
      <c r="J21" s="97"/>
      <c r="K21" s="97"/>
      <c r="L21" s="97"/>
      <c r="M21" s="98">
        <f>SUM(M12:M20)</f>
        <v>0</v>
      </c>
      <c r="N21" s="98">
        <f>SUM(N12:N20)</f>
        <v>0</v>
      </c>
    </row>
    <row r="22" spans="1:14" ht="15.5" x14ac:dyDescent="0.35">
      <c r="A22" s="71">
        <v>3</v>
      </c>
      <c r="B22" s="71" t="s">
        <v>44</v>
      </c>
      <c r="C22" s="72"/>
      <c r="D22" s="73"/>
      <c r="E22" s="73"/>
      <c r="F22" s="104"/>
      <c r="G22" s="105"/>
      <c r="H22" s="84"/>
      <c r="I22" s="76"/>
      <c r="J22" s="76"/>
      <c r="K22" s="76"/>
      <c r="L22" s="76"/>
      <c r="M22" s="83"/>
      <c r="N22" s="83"/>
    </row>
    <row r="23" spans="1:14" outlineLevel="1" x14ac:dyDescent="0.25">
      <c r="A23" s="101" t="s">
        <v>196</v>
      </c>
      <c r="B23" s="89" t="s">
        <v>197</v>
      </c>
      <c r="C23" s="78" t="s">
        <v>198</v>
      </c>
      <c r="D23" s="86">
        <v>64</v>
      </c>
      <c r="E23" s="79" t="s">
        <v>70</v>
      </c>
      <c r="F23" s="80">
        <f>VLOOKUP(E23,'Budget Parameters'!$A$7:$B$18,2,FALSE())</f>
        <v>56.284800000000004</v>
      </c>
      <c r="G23" s="80">
        <f t="shared" ref="G23:G29" si="5">D23*F23</f>
        <v>3602.2272000000003</v>
      </c>
      <c r="H23" s="80">
        <f>G23+(G23*'Budget Parameters'!$C$22)</f>
        <v>3962.4499200000005</v>
      </c>
      <c r="I23" s="87" t="s">
        <v>199</v>
      </c>
      <c r="J23" s="87"/>
      <c r="K23" s="82">
        <v>0</v>
      </c>
      <c r="L23" s="82">
        <v>0</v>
      </c>
      <c r="M23" s="83">
        <f t="shared" ref="M23:M29" si="6">K23*H23</f>
        <v>0</v>
      </c>
      <c r="N23" s="83">
        <f t="shared" ref="N23:N29" si="7">L23*H23</f>
        <v>0</v>
      </c>
    </row>
    <row r="24" spans="1:14" outlineLevel="1" x14ac:dyDescent="0.25">
      <c r="A24" s="101" t="s">
        <v>200</v>
      </c>
      <c r="B24" s="89" t="s">
        <v>201</v>
      </c>
      <c r="C24" s="78" t="s">
        <v>198</v>
      </c>
      <c r="D24" s="86">
        <f>IF('Study Parameters'!C25="yes",8,IF('Study Parameters'!C26="yes",20,16))*'Study Parameters'!C24</f>
        <v>0</v>
      </c>
      <c r="E24" s="79" t="s">
        <v>70</v>
      </c>
      <c r="F24" s="80">
        <f>VLOOKUP(E24,'Budget Parameters'!$A$7:$B$18,2,FALSE())</f>
        <v>56.284800000000004</v>
      </c>
      <c r="G24" s="80">
        <f t="shared" si="5"/>
        <v>0</v>
      </c>
      <c r="H24" s="80">
        <f>G24+(G24*'Budget Parameters'!$C$22)</f>
        <v>0</v>
      </c>
      <c r="I24" s="87" t="s">
        <v>202</v>
      </c>
      <c r="J24" s="87"/>
      <c r="K24" s="82">
        <v>0</v>
      </c>
      <c r="L24" s="82">
        <v>0</v>
      </c>
      <c r="M24" s="83">
        <f t="shared" si="6"/>
        <v>0</v>
      </c>
      <c r="N24" s="83">
        <f t="shared" si="7"/>
        <v>0</v>
      </c>
    </row>
    <row r="25" spans="1:14" outlineLevel="1" x14ac:dyDescent="0.25">
      <c r="A25" s="101" t="s">
        <v>203</v>
      </c>
      <c r="B25" s="89" t="s">
        <v>204</v>
      </c>
      <c r="C25" s="78" t="s">
        <v>198</v>
      </c>
      <c r="D25" s="86">
        <f>IF('Study Parameters'!C25="yes",12,IF('Study Parameters'!C27="yes",20,16))*'Study Parameters'!C24*'Study Parameters'!D39</f>
        <v>0</v>
      </c>
      <c r="E25" s="79" t="s">
        <v>70</v>
      </c>
      <c r="F25" s="80">
        <f>VLOOKUP(E25,'Budget Parameters'!$A$7:$B$18,2,FALSE())</f>
        <v>56.284800000000004</v>
      </c>
      <c r="G25" s="80">
        <f t="shared" si="5"/>
        <v>0</v>
      </c>
      <c r="H25" s="80">
        <f>G25+(G25*'Budget Parameters'!$C$22)</f>
        <v>0</v>
      </c>
      <c r="I25" s="87" t="s">
        <v>205</v>
      </c>
      <c r="J25" s="87"/>
      <c r="K25" s="82">
        <v>0</v>
      </c>
      <c r="L25" s="82">
        <v>0</v>
      </c>
      <c r="M25" s="83">
        <f t="shared" si="6"/>
        <v>0</v>
      </c>
      <c r="N25" s="83">
        <f t="shared" si="7"/>
        <v>0</v>
      </c>
    </row>
    <row r="26" spans="1:14" outlineLevel="1" x14ac:dyDescent="0.25">
      <c r="A26" s="101" t="s">
        <v>206</v>
      </c>
      <c r="B26" s="89" t="s">
        <v>207</v>
      </c>
      <c r="C26" s="78" t="s">
        <v>198</v>
      </c>
      <c r="D26" s="86">
        <f>IF('Study Parameters'!C25="yes",8,IF('Study Parameters'!C26="yes",16,12))*'Study Parameters'!C24</f>
        <v>0</v>
      </c>
      <c r="E26" s="79" t="s">
        <v>70</v>
      </c>
      <c r="F26" s="80">
        <f>VLOOKUP(E26,'Budget Parameters'!$A$7:$B$18,2,FALSE())</f>
        <v>56.284800000000004</v>
      </c>
      <c r="G26" s="80">
        <f t="shared" si="5"/>
        <v>0</v>
      </c>
      <c r="H26" s="80">
        <f>G26+(G26*'Budget Parameters'!$C$22)</f>
        <v>0</v>
      </c>
      <c r="I26" s="87" t="s">
        <v>208</v>
      </c>
      <c r="J26" s="87"/>
      <c r="K26" s="82">
        <v>0</v>
      </c>
      <c r="L26" s="82">
        <v>0</v>
      </c>
      <c r="M26" s="83">
        <f t="shared" si="6"/>
        <v>0</v>
      </c>
      <c r="N26" s="83">
        <f t="shared" si="7"/>
        <v>0</v>
      </c>
    </row>
    <row r="27" spans="1:14" ht="50" outlineLevel="1" x14ac:dyDescent="0.25">
      <c r="A27" s="101" t="s">
        <v>209</v>
      </c>
      <c r="B27" s="89" t="s">
        <v>210</v>
      </c>
      <c r="C27" s="78" t="s">
        <v>198</v>
      </c>
      <c r="D27" s="86">
        <f>(IF('Study Parameters'!C26="yes",4,3)*'Study Parameters'!D40*'Study Parameters'!C24)</f>
        <v>0</v>
      </c>
      <c r="E27" s="79" t="s">
        <v>70</v>
      </c>
      <c r="F27" s="80">
        <f>VLOOKUP(E27,'Budget Parameters'!$A$7:$B$18,2,FALSE())</f>
        <v>56.284800000000004</v>
      </c>
      <c r="G27" s="80">
        <f t="shared" si="5"/>
        <v>0</v>
      </c>
      <c r="H27" s="80">
        <f>G27+(G27*'Budget Parameters'!$C$22)</f>
        <v>0</v>
      </c>
      <c r="I27" s="87" t="s">
        <v>211</v>
      </c>
      <c r="J27" s="87"/>
      <c r="K27" s="82">
        <v>0</v>
      </c>
      <c r="L27" s="82">
        <v>0</v>
      </c>
      <c r="M27" s="83">
        <f t="shared" si="6"/>
        <v>0</v>
      </c>
      <c r="N27" s="83">
        <f t="shared" si="7"/>
        <v>0</v>
      </c>
    </row>
    <row r="28" spans="1:14" ht="25" outlineLevel="1" x14ac:dyDescent="0.25">
      <c r="A28" s="101" t="s">
        <v>212</v>
      </c>
      <c r="B28" s="89" t="s">
        <v>106</v>
      </c>
      <c r="C28" s="78"/>
      <c r="D28" s="86">
        <f>('Study Parameters'!D39+2)*'Study Parameters'!C24</f>
        <v>0</v>
      </c>
      <c r="E28" s="79" t="s">
        <v>156</v>
      </c>
      <c r="F28" s="80">
        <f>'Budget Parameters'!B28</f>
        <v>73.603200000000001</v>
      </c>
      <c r="G28" s="80">
        <f t="shared" si="5"/>
        <v>0</v>
      </c>
      <c r="H28" s="80">
        <f>G28</f>
        <v>0</v>
      </c>
      <c r="I28" s="87" t="s">
        <v>213</v>
      </c>
      <c r="J28" s="87"/>
      <c r="K28" s="82">
        <v>0</v>
      </c>
      <c r="L28" s="82">
        <v>0</v>
      </c>
      <c r="M28" s="83">
        <f t="shared" si="6"/>
        <v>0</v>
      </c>
      <c r="N28" s="83">
        <f t="shared" si="7"/>
        <v>0</v>
      </c>
    </row>
    <row r="29" spans="1:14" ht="25" outlineLevel="1" x14ac:dyDescent="0.25">
      <c r="A29" s="101" t="s">
        <v>214</v>
      </c>
      <c r="B29" s="89" t="s">
        <v>215</v>
      </c>
      <c r="C29" s="78" t="s">
        <v>198</v>
      </c>
      <c r="D29" s="86">
        <f>'Study Parameters'!D41</f>
        <v>0</v>
      </c>
      <c r="E29" s="79" t="s">
        <v>156</v>
      </c>
      <c r="F29" s="80">
        <f>'Budget Parameters'!B29</f>
        <v>337.7088</v>
      </c>
      <c r="G29" s="80">
        <f t="shared" si="5"/>
        <v>0</v>
      </c>
      <c r="H29" s="80">
        <f>G29</f>
        <v>0</v>
      </c>
      <c r="I29" s="87" t="s">
        <v>216</v>
      </c>
      <c r="J29" s="87"/>
      <c r="K29" s="82">
        <v>0</v>
      </c>
      <c r="L29" s="82">
        <v>0</v>
      </c>
      <c r="M29" s="83">
        <f t="shared" si="6"/>
        <v>0</v>
      </c>
      <c r="N29" s="83">
        <f t="shared" si="7"/>
        <v>0</v>
      </c>
    </row>
    <row r="30" spans="1:14" ht="13" x14ac:dyDescent="0.3">
      <c r="A30" s="90" t="s">
        <v>171</v>
      </c>
      <c r="B30" s="91"/>
      <c r="C30" s="92"/>
      <c r="D30" s="93"/>
      <c r="E30" s="93"/>
      <c r="F30" s="103"/>
      <c r="G30" s="95">
        <f>SUM(G23:G29)</f>
        <v>3602.2272000000003</v>
      </c>
      <c r="H30" s="95">
        <f>SUM(H23:H29)</f>
        <v>3962.4499200000005</v>
      </c>
      <c r="I30" s="97"/>
      <c r="J30" s="97"/>
      <c r="K30" s="97"/>
      <c r="L30" s="97"/>
      <c r="M30" s="98">
        <f>SUM(M23:M29)</f>
        <v>0</v>
      </c>
      <c r="N30" s="98">
        <f>SUM(N23:N29)</f>
        <v>0</v>
      </c>
    </row>
    <row r="31" spans="1:14" ht="15.5" x14ac:dyDescent="0.35">
      <c r="A31" s="71">
        <v>4</v>
      </c>
      <c r="B31" s="71" t="s">
        <v>217</v>
      </c>
      <c r="C31" s="72"/>
      <c r="D31" s="79"/>
      <c r="E31" s="79"/>
      <c r="F31" s="80"/>
      <c r="G31" s="84"/>
      <c r="H31" s="84"/>
      <c r="I31" s="76"/>
      <c r="J31" s="76"/>
      <c r="K31" s="76"/>
      <c r="L31" s="76"/>
      <c r="M31" s="83"/>
      <c r="N31" s="83"/>
    </row>
    <row r="32" spans="1:14" ht="37.5" outlineLevel="1" x14ac:dyDescent="0.25">
      <c r="A32" s="101" t="s">
        <v>218</v>
      </c>
      <c r="B32" s="89"/>
      <c r="C32" s="78"/>
      <c r="D32" s="86">
        <v>1</v>
      </c>
      <c r="E32" s="79" t="s">
        <v>156</v>
      </c>
      <c r="F32" s="84">
        <f>10000*'Budget Parameters'!B4</f>
        <v>10824</v>
      </c>
      <c r="G32" s="84">
        <f>D32*F32</f>
        <v>10824</v>
      </c>
      <c r="H32" s="84">
        <f>G32</f>
        <v>10824</v>
      </c>
      <c r="I32" s="87" t="s">
        <v>219</v>
      </c>
      <c r="J32" s="87"/>
      <c r="K32" s="82">
        <v>0</v>
      </c>
      <c r="L32" s="82">
        <v>0</v>
      </c>
      <c r="M32" s="83">
        <f>K32*H32</f>
        <v>0</v>
      </c>
      <c r="N32" s="83">
        <f>L32*H32</f>
        <v>0</v>
      </c>
    </row>
    <row r="33" spans="1:14" ht="13" x14ac:dyDescent="0.3">
      <c r="A33" s="90" t="s">
        <v>171</v>
      </c>
      <c r="B33" s="91"/>
      <c r="C33" s="92"/>
      <c r="D33" s="93"/>
      <c r="E33" s="93"/>
      <c r="F33" s="95"/>
      <c r="G33" s="95">
        <f>SUM(G32)</f>
        <v>10824</v>
      </c>
      <c r="H33" s="95">
        <f>SUM(H32)</f>
        <v>10824</v>
      </c>
      <c r="I33" s="97"/>
      <c r="J33" s="97"/>
      <c r="K33" s="97"/>
      <c r="L33" s="97"/>
      <c r="M33" s="106">
        <f>SUM(M32)</f>
        <v>0</v>
      </c>
      <c r="N33" s="106">
        <f>SUM(N32)</f>
        <v>0</v>
      </c>
    </row>
    <row r="34" spans="1:14" ht="15.5" x14ac:dyDescent="0.35">
      <c r="A34" s="71">
        <v>5</v>
      </c>
      <c r="B34" s="71" t="s">
        <v>220</v>
      </c>
      <c r="C34" s="72"/>
      <c r="D34" s="73"/>
      <c r="E34" s="73"/>
      <c r="F34" s="104"/>
      <c r="G34" s="105"/>
      <c r="H34" s="84"/>
      <c r="I34" s="81"/>
      <c r="J34" s="81"/>
      <c r="K34" s="81"/>
      <c r="L34" s="81"/>
      <c r="M34" s="83"/>
      <c r="N34" s="83"/>
    </row>
    <row r="35" spans="1:14" outlineLevel="1" x14ac:dyDescent="0.25">
      <c r="A35" s="101" t="s">
        <v>221</v>
      </c>
      <c r="B35" s="89" t="s">
        <v>222</v>
      </c>
      <c r="C35" s="78"/>
      <c r="D35" s="79">
        <v>1</v>
      </c>
      <c r="E35" s="79" t="s">
        <v>156</v>
      </c>
      <c r="F35" s="80">
        <f>(IF('Study Parameters'!C27="yes",1040*2,1040))*'Budget Parameters'!B4</f>
        <v>1125.6960000000001</v>
      </c>
      <c r="G35" s="80">
        <f>H35</f>
        <v>1125.6960000000001</v>
      </c>
      <c r="H35" s="80">
        <f>F35</f>
        <v>1125.6960000000001</v>
      </c>
      <c r="I35" s="87" t="s">
        <v>223</v>
      </c>
      <c r="J35" s="87"/>
      <c r="K35" s="82">
        <v>0</v>
      </c>
      <c r="L35" s="82">
        <v>0</v>
      </c>
      <c r="M35" s="83">
        <f t="shared" ref="M35:M41" si="8">K35*H35</f>
        <v>0</v>
      </c>
      <c r="N35" s="83">
        <f t="shared" ref="N35:N41" si="9">L35*H35</f>
        <v>0</v>
      </c>
    </row>
    <row r="36" spans="1:14" outlineLevel="1" x14ac:dyDescent="0.25">
      <c r="A36" s="101" t="s">
        <v>224</v>
      </c>
      <c r="B36" s="89" t="s">
        <v>225</v>
      </c>
      <c r="C36" s="78" t="s">
        <v>198</v>
      </c>
      <c r="D36" s="86">
        <f>4*'Study Parameters'!C24</f>
        <v>0</v>
      </c>
      <c r="E36" s="79" t="s">
        <v>76</v>
      </c>
      <c r="F36" s="80">
        <f>VLOOKUP(E36,'Budget Parameters'!$A$7:$B$18,2,FALSE())</f>
        <v>39.399360000000001</v>
      </c>
      <c r="G36" s="80">
        <f t="shared" ref="G36:G41" si="10">F36*D36</f>
        <v>0</v>
      </c>
      <c r="H36" s="80">
        <f>G36+(G36*'Budget Parameters'!$C$22)</f>
        <v>0</v>
      </c>
      <c r="I36" s="87" t="s">
        <v>226</v>
      </c>
      <c r="J36" s="87"/>
      <c r="K36" s="82">
        <v>0</v>
      </c>
      <c r="L36" s="82">
        <v>0</v>
      </c>
      <c r="M36" s="83">
        <f t="shared" si="8"/>
        <v>0</v>
      </c>
      <c r="N36" s="83">
        <f t="shared" si="9"/>
        <v>0</v>
      </c>
    </row>
    <row r="37" spans="1:14" outlineLevel="1" x14ac:dyDescent="0.25">
      <c r="A37" s="101" t="s">
        <v>227</v>
      </c>
      <c r="B37" s="89" t="s">
        <v>228</v>
      </c>
      <c r="C37" s="78" t="s">
        <v>198</v>
      </c>
      <c r="D37" s="79"/>
      <c r="E37" s="79" t="s">
        <v>76</v>
      </c>
      <c r="F37" s="80">
        <f>VLOOKUP(E37,'Budget Parameters'!$A$7:$B$18,2,FALSE())</f>
        <v>39.399360000000001</v>
      </c>
      <c r="G37" s="80">
        <f t="shared" si="10"/>
        <v>0</v>
      </c>
      <c r="H37" s="80">
        <f>G37+(G37*'Budget Parameters'!$C$22)</f>
        <v>0</v>
      </c>
      <c r="I37" s="87" t="s">
        <v>229</v>
      </c>
      <c r="J37" s="87"/>
      <c r="K37" s="82">
        <v>0</v>
      </c>
      <c r="L37" s="82">
        <v>0</v>
      </c>
      <c r="M37" s="83">
        <f t="shared" si="8"/>
        <v>0</v>
      </c>
      <c r="N37" s="83">
        <f t="shared" si="9"/>
        <v>0</v>
      </c>
    </row>
    <row r="38" spans="1:14" outlineLevel="1" x14ac:dyDescent="0.25">
      <c r="A38" s="101" t="s">
        <v>230</v>
      </c>
      <c r="B38" s="89" t="s">
        <v>231</v>
      </c>
      <c r="C38" s="78" t="s">
        <v>198</v>
      </c>
      <c r="D38" s="86">
        <f>IF('Study Parameters'!C27="yes",12,8)*'Study Parameters'!C24*'Study Parameters'!D37</f>
        <v>0</v>
      </c>
      <c r="E38" s="79" t="s">
        <v>76</v>
      </c>
      <c r="F38" s="80">
        <f>VLOOKUP(E38,'Budget Parameters'!$A$7:$B$18,2,FALSE())</f>
        <v>39.399360000000001</v>
      </c>
      <c r="G38" s="80">
        <f t="shared" si="10"/>
        <v>0</v>
      </c>
      <c r="H38" s="80">
        <f>G38+(G38*'Budget Parameters'!$C$22)</f>
        <v>0</v>
      </c>
      <c r="I38" s="87" t="s">
        <v>232</v>
      </c>
      <c r="J38" s="87"/>
      <c r="K38" s="82">
        <v>0</v>
      </c>
      <c r="L38" s="82">
        <v>0</v>
      </c>
      <c r="M38" s="83">
        <f t="shared" si="8"/>
        <v>0</v>
      </c>
      <c r="N38" s="83">
        <f t="shared" si="9"/>
        <v>0</v>
      </c>
    </row>
    <row r="39" spans="1:14" ht="25" outlineLevel="1" x14ac:dyDescent="0.25">
      <c r="A39" s="101" t="s">
        <v>233</v>
      </c>
      <c r="B39" s="89" t="s">
        <v>234</v>
      </c>
      <c r="C39" s="78" t="s">
        <v>235</v>
      </c>
      <c r="D39" s="86">
        <f>2*'Study Parameters'!C24*'Study Parameters'!D37</f>
        <v>0</v>
      </c>
      <c r="E39" s="79" t="s">
        <v>156</v>
      </c>
      <c r="F39" s="80">
        <f>IF('Study Parameters'!C26="yes",156,104)*'Budget Parameters'!B4</f>
        <v>112.56960000000001</v>
      </c>
      <c r="G39" s="80">
        <f t="shared" si="10"/>
        <v>0</v>
      </c>
      <c r="H39" s="80">
        <f>G39</f>
        <v>0</v>
      </c>
      <c r="I39" s="87" t="s">
        <v>236</v>
      </c>
      <c r="J39" s="81"/>
      <c r="K39" s="82">
        <v>0</v>
      </c>
      <c r="L39" s="82">
        <v>0</v>
      </c>
      <c r="M39" s="83">
        <f t="shared" si="8"/>
        <v>0</v>
      </c>
      <c r="N39" s="83">
        <f t="shared" si="9"/>
        <v>0</v>
      </c>
    </row>
    <row r="40" spans="1:14" ht="25" outlineLevel="1" x14ac:dyDescent="0.25">
      <c r="A40" s="101" t="s">
        <v>237</v>
      </c>
      <c r="B40" s="89" t="s">
        <v>238</v>
      </c>
      <c r="C40" s="78" t="s">
        <v>198</v>
      </c>
      <c r="D40" s="86">
        <f>2*'Study Parameters'!$C$24*'Study Parameters'!$D$37</f>
        <v>0</v>
      </c>
      <c r="E40" s="79" t="s">
        <v>76</v>
      </c>
      <c r="F40" s="80">
        <f>VLOOKUP(E40,'Budget Parameters'!$A$7:$B$18,2,FALSE())</f>
        <v>39.399360000000001</v>
      </c>
      <c r="G40" s="80">
        <f t="shared" si="10"/>
        <v>0</v>
      </c>
      <c r="H40" s="80">
        <f>G40+(G40*'Budget Parameters'!$C$22)</f>
        <v>0</v>
      </c>
      <c r="I40" s="87" t="s">
        <v>239</v>
      </c>
      <c r="J40" s="87"/>
      <c r="K40" s="82">
        <v>0</v>
      </c>
      <c r="L40" s="82">
        <v>0</v>
      </c>
      <c r="M40" s="83">
        <f t="shared" si="8"/>
        <v>0</v>
      </c>
      <c r="N40" s="83">
        <f t="shared" si="9"/>
        <v>0</v>
      </c>
    </row>
    <row r="41" spans="1:14" ht="37.5" outlineLevel="1" x14ac:dyDescent="0.25">
      <c r="A41" s="101" t="s">
        <v>240</v>
      </c>
      <c r="B41" s="89" t="s">
        <v>103</v>
      </c>
      <c r="C41" s="78" t="s">
        <v>241</v>
      </c>
      <c r="D41" s="86">
        <f>2+('Study Parameters'!C24/4)</f>
        <v>2</v>
      </c>
      <c r="E41" s="79" t="s">
        <v>156</v>
      </c>
      <c r="F41" s="80">
        <f>'Budget Parameters'!B27</f>
        <v>281.42400000000004</v>
      </c>
      <c r="G41" s="80">
        <f t="shared" si="10"/>
        <v>562.84800000000007</v>
      </c>
      <c r="H41" s="80">
        <f>G41</f>
        <v>562.84800000000007</v>
      </c>
      <c r="I41" s="87" t="s">
        <v>242</v>
      </c>
      <c r="J41" s="87"/>
      <c r="K41" s="82">
        <v>0</v>
      </c>
      <c r="L41" s="82">
        <v>0</v>
      </c>
      <c r="M41" s="83">
        <f t="shared" si="8"/>
        <v>0</v>
      </c>
      <c r="N41" s="83">
        <f t="shared" si="9"/>
        <v>0</v>
      </c>
    </row>
    <row r="42" spans="1:14" ht="13" x14ac:dyDescent="0.3">
      <c r="A42" s="90" t="s">
        <v>171</v>
      </c>
      <c r="B42" s="91"/>
      <c r="C42" s="92"/>
      <c r="D42" s="93"/>
      <c r="E42" s="93"/>
      <c r="F42" s="103"/>
      <c r="G42" s="95">
        <f>SUM(G35:G41)</f>
        <v>1688.5440000000003</v>
      </c>
      <c r="H42" s="95">
        <f>SUM(H35:H41)</f>
        <v>1688.5440000000003</v>
      </c>
      <c r="I42" s="97"/>
      <c r="J42" s="97"/>
      <c r="K42" s="97"/>
      <c r="L42" s="97"/>
      <c r="M42" s="106">
        <f>SUM(M35:M41)</f>
        <v>0</v>
      </c>
      <c r="N42" s="106">
        <f>SUM(N35:N41)</f>
        <v>0</v>
      </c>
    </row>
    <row r="43" spans="1:14" ht="15.5" x14ac:dyDescent="0.35">
      <c r="A43" s="71">
        <v>6</v>
      </c>
      <c r="B43" s="71" t="s">
        <v>243</v>
      </c>
      <c r="C43" s="72"/>
      <c r="D43" s="73"/>
      <c r="E43" s="73"/>
      <c r="F43" s="104"/>
      <c r="G43" s="105"/>
      <c r="H43" s="84"/>
      <c r="I43" s="76"/>
      <c r="J43" s="76"/>
      <c r="K43" s="76"/>
      <c r="L43" s="76"/>
      <c r="M43" s="83"/>
      <c r="N43" s="83"/>
    </row>
    <row r="44" spans="1:14" ht="20.5" outlineLevel="1" x14ac:dyDescent="0.25">
      <c r="A44" s="101" t="s">
        <v>244</v>
      </c>
      <c r="B44" s="102" t="s">
        <v>245</v>
      </c>
      <c r="C44" s="78"/>
      <c r="D44" s="86">
        <f>'Study Parameters'!D43</f>
        <v>0</v>
      </c>
      <c r="E44" s="79" t="s">
        <v>156</v>
      </c>
      <c r="F44" s="84">
        <f>416*'Budget Parameters'!B4</f>
        <v>450.27840000000003</v>
      </c>
      <c r="G44" s="80">
        <f>F44*D44</f>
        <v>0</v>
      </c>
      <c r="H44" s="80">
        <f>G44</f>
        <v>0</v>
      </c>
      <c r="I44" s="87"/>
      <c r="J44" s="87"/>
      <c r="K44" s="82">
        <v>0</v>
      </c>
      <c r="L44" s="82">
        <v>0</v>
      </c>
      <c r="M44" s="83">
        <f>K44*H44</f>
        <v>0</v>
      </c>
      <c r="N44" s="83">
        <f>L44*H44</f>
        <v>0</v>
      </c>
    </row>
    <row r="45" spans="1:14" outlineLevel="1" x14ac:dyDescent="0.25">
      <c r="A45" s="101" t="s">
        <v>246</v>
      </c>
      <c r="B45" s="102" t="s">
        <v>247</v>
      </c>
      <c r="C45" s="78"/>
      <c r="D45" s="86">
        <f>IF('Study Parameters'!D44="yes",2*'Study Parameters'!D37,0)</f>
        <v>0</v>
      </c>
      <c r="E45" s="79" t="s">
        <v>156</v>
      </c>
      <c r="F45" s="84">
        <f>2600*'Budget Parameters'!B4</f>
        <v>2814.2400000000002</v>
      </c>
      <c r="G45" s="80">
        <f>F45*D45</f>
        <v>0</v>
      </c>
      <c r="H45" s="80">
        <f>G45</f>
        <v>0</v>
      </c>
      <c r="I45" s="87" t="s">
        <v>248</v>
      </c>
      <c r="J45" s="87"/>
      <c r="K45" s="82">
        <v>0</v>
      </c>
      <c r="L45" s="82">
        <v>0</v>
      </c>
      <c r="M45" s="83">
        <f>K45*H45</f>
        <v>0</v>
      </c>
      <c r="N45" s="83">
        <f>L45*H45</f>
        <v>0</v>
      </c>
    </row>
    <row r="46" spans="1:14" ht="13" x14ac:dyDescent="0.3">
      <c r="A46" s="90" t="s">
        <v>171</v>
      </c>
      <c r="B46" s="91"/>
      <c r="C46" s="92"/>
      <c r="D46" s="93"/>
      <c r="E46" s="93"/>
      <c r="F46" s="103"/>
      <c r="G46" s="95">
        <f>SUM(G44:G45)</f>
        <v>0</v>
      </c>
      <c r="H46" s="95">
        <f>SUM(H44:H45)</f>
        <v>0</v>
      </c>
      <c r="I46" s="97"/>
      <c r="J46" s="97"/>
      <c r="K46" s="97"/>
      <c r="L46" s="97"/>
      <c r="M46" s="106">
        <f>SUM(M44:M45)</f>
        <v>0</v>
      </c>
      <c r="N46" s="106">
        <f>SUM(N44:N45)</f>
        <v>0</v>
      </c>
    </row>
    <row r="47" spans="1:14" ht="15.5" x14ac:dyDescent="0.35">
      <c r="A47" s="71">
        <v>7</v>
      </c>
      <c r="B47" s="107" t="s">
        <v>249</v>
      </c>
      <c r="C47" s="72"/>
      <c r="D47" s="73"/>
      <c r="E47" s="73"/>
      <c r="F47" s="104"/>
      <c r="G47" s="105"/>
      <c r="H47" s="84"/>
      <c r="I47" s="76"/>
      <c r="J47" s="76"/>
      <c r="K47" s="76"/>
      <c r="L47" s="76"/>
      <c r="M47" s="83"/>
      <c r="N47" s="83"/>
    </row>
    <row r="48" spans="1:14" ht="60.5" outlineLevel="1" x14ac:dyDescent="0.25">
      <c r="A48" s="101" t="s">
        <v>250</v>
      </c>
      <c r="B48" s="77" t="s">
        <v>251</v>
      </c>
      <c r="C48" s="78"/>
      <c r="D48" s="79"/>
      <c r="E48" s="79" t="s">
        <v>156</v>
      </c>
      <c r="F48" s="80">
        <f>IF('Study Parameters'!C27="yes",75000,50000)*'Budget Parameters'!B4</f>
        <v>54120</v>
      </c>
      <c r="G48" s="80">
        <f>F48</f>
        <v>54120</v>
      </c>
      <c r="H48" s="80">
        <f>F48</f>
        <v>54120</v>
      </c>
      <c r="I48" s="87" t="s">
        <v>252</v>
      </c>
      <c r="J48" s="87"/>
      <c r="K48" s="82">
        <v>0</v>
      </c>
      <c r="L48" s="82">
        <v>0</v>
      </c>
      <c r="M48" s="83">
        <f t="shared" ref="M48:M53" si="11">K48*H48</f>
        <v>0</v>
      </c>
      <c r="N48" s="83">
        <f t="shared" ref="N48:N53" si="12">L48*H48</f>
        <v>0</v>
      </c>
    </row>
    <row r="49" spans="1:14" ht="37.5" outlineLevel="1" x14ac:dyDescent="0.25">
      <c r="A49" s="101" t="s">
        <v>253</v>
      </c>
      <c r="B49" s="77" t="s">
        <v>254</v>
      </c>
      <c r="C49" s="108"/>
      <c r="D49" s="79"/>
      <c r="E49" s="79" t="s">
        <v>156</v>
      </c>
      <c r="F49" s="84">
        <f>5000*'Budget Parameters'!B4</f>
        <v>5412</v>
      </c>
      <c r="G49" s="80">
        <f>F49*D49</f>
        <v>0</v>
      </c>
      <c r="H49" s="80">
        <f>G49</f>
        <v>0</v>
      </c>
      <c r="I49" s="87" t="s">
        <v>255</v>
      </c>
      <c r="J49" s="87"/>
      <c r="K49" s="82">
        <v>0</v>
      </c>
      <c r="L49" s="82">
        <v>0</v>
      </c>
      <c r="M49" s="83">
        <f t="shared" si="11"/>
        <v>0</v>
      </c>
      <c r="N49" s="83">
        <f t="shared" si="12"/>
        <v>0</v>
      </c>
    </row>
    <row r="50" spans="1:14" ht="25" outlineLevel="1" x14ac:dyDescent="0.25">
      <c r="A50" s="101" t="s">
        <v>256</v>
      </c>
      <c r="B50" s="77" t="s">
        <v>257</v>
      </c>
      <c r="C50" s="108"/>
      <c r="D50" s="79">
        <v>0</v>
      </c>
      <c r="E50" s="79" t="s">
        <v>156</v>
      </c>
      <c r="F50" s="84">
        <f>2000*'Budget Parameters'!B4</f>
        <v>2164.8000000000002</v>
      </c>
      <c r="G50" s="80">
        <f>F50*D50*'Study Parameters'!D37</f>
        <v>0</v>
      </c>
      <c r="H50" s="80">
        <f>G50</f>
        <v>0</v>
      </c>
      <c r="I50" s="87" t="s">
        <v>258</v>
      </c>
      <c r="J50" s="87"/>
      <c r="K50" s="82">
        <v>0</v>
      </c>
      <c r="L50" s="82">
        <v>0</v>
      </c>
      <c r="M50" s="83">
        <f t="shared" si="11"/>
        <v>0</v>
      </c>
      <c r="N50" s="83">
        <f t="shared" si="12"/>
        <v>0</v>
      </c>
    </row>
    <row r="51" spans="1:14" ht="80.5" outlineLevel="1" x14ac:dyDescent="0.25">
      <c r="A51" s="101" t="s">
        <v>259</v>
      </c>
      <c r="B51" s="77" t="s">
        <v>260</v>
      </c>
      <c r="C51" s="78" t="s">
        <v>198</v>
      </c>
      <c r="D51" s="86">
        <f>2*'Study Parameters'!C19</f>
        <v>0</v>
      </c>
      <c r="E51" s="79" t="s">
        <v>81</v>
      </c>
      <c r="F51" s="80">
        <f>VLOOKUP(E51,'Budget Parameters'!$A$7:$B$18,2,FALSE())</f>
        <v>56.284800000000004</v>
      </c>
      <c r="G51" s="80">
        <f>F51*D51</f>
        <v>0</v>
      </c>
      <c r="H51" s="80">
        <f>G51+(G51*'Budget Parameters'!$C$22)</f>
        <v>0</v>
      </c>
      <c r="I51" s="87" t="s">
        <v>261</v>
      </c>
      <c r="J51" s="87"/>
      <c r="K51" s="82">
        <v>0</v>
      </c>
      <c r="L51" s="82">
        <v>0</v>
      </c>
      <c r="M51" s="83">
        <f t="shared" si="11"/>
        <v>0</v>
      </c>
      <c r="N51" s="83">
        <f t="shared" si="12"/>
        <v>0</v>
      </c>
    </row>
    <row r="52" spans="1:14" outlineLevel="1" x14ac:dyDescent="0.25">
      <c r="A52" s="101" t="s">
        <v>262</v>
      </c>
      <c r="B52" s="77" t="s">
        <v>263</v>
      </c>
      <c r="C52" s="108"/>
      <c r="D52" s="86">
        <f>2*'Study Parameters'!D45</f>
        <v>0</v>
      </c>
      <c r="E52" s="79" t="s">
        <v>81</v>
      </c>
      <c r="F52" s="80">
        <f>VLOOKUP(E52,'Budget Parameters'!$A$7:$B$18,2,FALSE())</f>
        <v>56.284800000000004</v>
      </c>
      <c r="G52" s="80">
        <f>F52*D52</f>
        <v>0</v>
      </c>
      <c r="H52" s="80">
        <f>G52+(G52*'Budget Parameters'!$C$22)</f>
        <v>0</v>
      </c>
      <c r="I52" s="87" t="s">
        <v>264</v>
      </c>
      <c r="J52" s="87"/>
      <c r="K52" s="82">
        <v>0</v>
      </c>
      <c r="L52" s="82">
        <v>0</v>
      </c>
      <c r="M52" s="83">
        <f t="shared" si="11"/>
        <v>0</v>
      </c>
      <c r="N52" s="83">
        <f t="shared" si="12"/>
        <v>0</v>
      </c>
    </row>
    <row r="53" spans="1:14" ht="20.5" outlineLevel="1" x14ac:dyDescent="0.25">
      <c r="A53" s="54" t="s">
        <v>265</v>
      </c>
      <c r="B53" s="102" t="s">
        <v>266</v>
      </c>
      <c r="C53" s="108"/>
      <c r="D53" s="109"/>
      <c r="E53" s="79" t="s">
        <v>156</v>
      </c>
      <c r="F53" s="84">
        <f>26000*'Budget Parameters'!B4</f>
        <v>28142.400000000001</v>
      </c>
      <c r="G53" s="80">
        <f>F53*D53</f>
        <v>0</v>
      </c>
      <c r="H53" s="80">
        <f>G53</f>
        <v>0</v>
      </c>
      <c r="I53" s="87" t="s">
        <v>267</v>
      </c>
      <c r="J53" s="87"/>
      <c r="K53" s="82">
        <v>0</v>
      </c>
      <c r="L53" s="82">
        <v>0</v>
      </c>
      <c r="M53" s="83">
        <f t="shared" si="11"/>
        <v>0</v>
      </c>
      <c r="N53" s="83">
        <f t="shared" si="12"/>
        <v>0</v>
      </c>
    </row>
    <row r="54" spans="1:14" ht="13" x14ac:dyDescent="0.3">
      <c r="A54" s="90" t="s">
        <v>171</v>
      </c>
      <c r="B54" s="91"/>
      <c r="C54" s="92"/>
      <c r="D54" s="93"/>
      <c r="E54" s="93"/>
      <c r="F54" s="103"/>
      <c r="G54" s="95">
        <f>SUM(G48:G53)</f>
        <v>54120</v>
      </c>
      <c r="H54" s="95">
        <f>SUM(H48:H53)</f>
        <v>54120</v>
      </c>
      <c r="I54" s="97"/>
      <c r="J54" s="97"/>
      <c r="K54" s="97"/>
      <c r="L54" s="97"/>
      <c r="M54" s="106">
        <f>SUM(M48:M53)</f>
        <v>0</v>
      </c>
      <c r="N54" s="106">
        <f>SUM(N48:N53)</f>
        <v>0</v>
      </c>
    </row>
    <row r="55" spans="1:14" ht="15.5" x14ac:dyDescent="0.35">
      <c r="A55" s="71">
        <v>8</v>
      </c>
      <c r="B55" s="71" t="s">
        <v>268</v>
      </c>
      <c r="C55" s="72"/>
      <c r="D55" s="73"/>
      <c r="E55" s="73"/>
      <c r="F55" s="104"/>
      <c r="G55" s="105"/>
      <c r="H55" s="84"/>
      <c r="I55" s="76"/>
      <c r="J55" s="76"/>
      <c r="K55" s="76"/>
      <c r="L55" s="76"/>
      <c r="M55" s="83"/>
      <c r="N55" s="83"/>
    </row>
    <row r="56" spans="1:14" outlineLevel="1" x14ac:dyDescent="0.25">
      <c r="A56" s="101" t="s">
        <v>269</v>
      </c>
      <c r="B56" s="102" t="s">
        <v>270</v>
      </c>
      <c r="C56" s="78"/>
      <c r="D56" s="79"/>
      <c r="E56" s="79" t="s">
        <v>156</v>
      </c>
      <c r="F56" s="84">
        <f>10400*'Budget Parameters'!B4</f>
        <v>11256.960000000001</v>
      </c>
      <c r="G56" s="80">
        <f>F56</f>
        <v>11256.960000000001</v>
      </c>
      <c r="H56" s="80">
        <f>F56</f>
        <v>11256.960000000001</v>
      </c>
      <c r="I56" s="87"/>
      <c r="J56" s="87"/>
      <c r="K56" s="82">
        <v>0</v>
      </c>
      <c r="L56" s="82">
        <v>0</v>
      </c>
      <c r="M56" s="83">
        <f>K56*H56</f>
        <v>0</v>
      </c>
      <c r="N56" s="83">
        <f>L56*H56</f>
        <v>0</v>
      </c>
    </row>
    <row r="57" spans="1:14" ht="30.5" outlineLevel="1" x14ac:dyDescent="0.25">
      <c r="A57" s="101" t="s">
        <v>271</v>
      </c>
      <c r="B57" s="102" t="s">
        <v>272</v>
      </c>
      <c r="C57" s="78"/>
      <c r="D57" s="79"/>
      <c r="E57" s="79" t="s">
        <v>156</v>
      </c>
      <c r="F57" s="110">
        <f>41600*'Budget Parameters'!B4</f>
        <v>45027.840000000004</v>
      </c>
      <c r="G57" s="80">
        <f>F57</f>
        <v>45027.840000000004</v>
      </c>
      <c r="H57" s="80">
        <f>F57</f>
        <v>45027.840000000004</v>
      </c>
      <c r="I57" s="81" t="s">
        <v>273</v>
      </c>
      <c r="J57" s="87"/>
      <c r="K57" s="82">
        <v>0</v>
      </c>
      <c r="L57" s="82">
        <v>0</v>
      </c>
      <c r="M57" s="83">
        <f>K57*H57</f>
        <v>0</v>
      </c>
      <c r="N57" s="83">
        <f>L57*H57</f>
        <v>0</v>
      </c>
    </row>
    <row r="58" spans="1:14" outlineLevel="1" x14ac:dyDescent="0.25">
      <c r="A58" s="101" t="s">
        <v>274</v>
      </c>
      <c r="B58" s="89" t="s">
        <v>275</v>
      </c>
      <c r="C58" s="78"/>
      <c r="D58" s="79"/>
      <c r="E58" s="79" t="s">
        <v>156</v>
      </c>
      <c r="F58" s="84">
        <f>10400*'Budget Parameters'!B4</f>
        <v>11256.960000000001</v>
      </c>
      <c r="G58" s="80">
        <f>F58</f>
        <v>11256.960000000001</v>
      </c>
      <c r="H58" s="80">
        <f>F58</f>
        <v>11256.960000000001</v>
      </c>
      <c r="I58" s="87"/>
      <c r="J58" s="87"/>
      <c r="K58" s="82">
        <v>0</v>
      </c>
      <c r="L58" s="82">
        <v>0</v>
      </c>
      <c r="M58" s="83">
        <f>K58*H58</f>
        <v>0</v>
      </c>
      <c r="N58" s="83">
        <f>L58*H58</f>
        <v>0</v>
      </c>
    </row>
    <row r="59" spans="1:14" ht="25" outlineLevel="1" x14ac:dyDescent="0.25">
      <c r="A59" s="101" t="s">
        <v>276</v>
      </c>
      <c r="B59" s="102" t="s">
        <v>277</v>
      </c>
      <c r="C59" s="78"/>
      <c r="D59" s="79"/>
      <c r="E59" s="79" t="s">
        <v>156</v>
      </c>
      <c r="F59" s="84">
        <f>10400*'Budget Parameters'!B4</f>
        <v>11256.960000000001</v>
      </c>
      <c r="G59" s="80">
        <f>D59*F59</f>
        <v>0</v>
      </c>
      <c r="H59" s="80">
        <f>G59</f>
        <v>0</v>
      </c>
      <c r="I59" s="87" t="s">
        <v>278</v>
      </c>
      <c r="J59" s="87"/>
      <c r="K59" s="82">
        <v>0</v>
      </c>
      <c r="L59" s="82">
        <v>0</v>
      </c>
      <c r="M59" s="83">
        <f>K59*H59</f>
        <v>0</v>
      </c>
      <c r="N59" s="83">
        <f>L59*H59</f>
        <v>0</v>
      </c>
    </row>
    <row r="60" spans="1:14" ht="13" x14ac:dyDescent="0.3">
      <c r="A60" s="90" t="s">
        <v>171</v>
      </c>
      <c r="B60" s="91"/>
      <c r="C60" s="92"/>
      <c r="D60" s="93"/>
      <c r="E60" s="93"/>
      <c r="F60" s="103"/>
      <c r="G60" s="95">
        <f>SUM(G56:G59)</f>
        <v>67541.760000000009</v>
      </c>
      <c r="H60" s="95">
        <f>SUM(H56:H59)</f>
        <v>67541.760000000009</v>
      </c>
      <c r="I60" s="97"/>
      <c r="J60" s="97"/>
      <c r="K60" s="97"/>
      <c r="L60" s="97"/>
      <c r="M60" s="106">
        <f>SUM(M56:M59)</f>
        <v>0</v>
      </c>
      <c r="N60" s="106">
        <f>SUM(N56:N59)</f>
        <v>0</v>
      </c>
    </row>
    <row r="61" spans="1:14" ht="15.5" x14ac:dyDescent="0.35">
      <c r="A61" s="71">
        <v>9</v>
      </c>
      <c r="B61" s="71" t="s">
        <v>279</v>
      </c>
      <c r="C61" s="72"/>
      <c r="E61" s="73"/>
      <c r="F61" s="104"/>
      <c r="G61" s="105"/>
      <c r="H61" s="84"/>
      <c r="I61" s="76"/>
      <c r="J61" s="76"/>
      <c r="K61" s="76"/>
      <c r="L61" s="76"/>
      <c r="M61" s="83"/>
      <c r="N61" s="83"/>
    </row>
    <row r="62" spans="1:14" ht="25" outlineLevel="1" x14ac:dyDescent="0.25">
      <c r="A62" s="101" t="s">
        <v>280</v>
      </c>
      <c r="B62" s="89" t="s">
        <v>281</v>
      </c>
      <c r="C62" s="78" t="s">
        <v>282</v>
      </c>
      <c r="D62" s="111">
        <f>IF('Study Parameters'!C25="yes",0.4+0.00625*'Study Parameters'!C24,IF('Study Parameters'!C24&lt;26,0.3+0.025*'Study Parameters'!C24,0.3+0.025*25+('Study Parameters'!C24-25)*0.0125))+IF('Study Parameters'!C47&gt;2,0.1,0)</f>
        <v>0.3</v>
      </c>
      <c r="E62" s="79" t="s">
        <v>68</v>
      </c>
      <c r="F62" s="80">
        <f>VLOOKUP(E62,'Budget Parameters'!$A$7:$B$18,2,FALSE())*1605.2/12*'Study Parameters'!D35</f>
        <v>0</v>
      </c>
      <c r="G62" s="80">
        <f t="shared" ref="G62:G69" si="13">F62*D62</f>
        <v>0</v>
      </c>
      <c r="H62" s="80">
        <f>G62+(G62*'Budget Parameters'!$C$22)</f>
        <v>0</v>
      </c>
      <c r="I62" s="112" t="s">
        <v>283</v>
      </c>
      <c r="J62" s="81"/>
      <c r="K62" s="82">
        <v>0</v>
      </c>
      <c r="L62" s="82">
        <v>0</v>
      </c>
      <c r="M62" s="83">
        <f t="shared" ref="M62:M69" si="14">K62*H62</f>
        <v>0</v>
      </c>
      <c r="N62" s="83">
        <f t="shared" ref="N62:N69" si="15">L62*H62</f>
        <v>0</v>
      </c>
    </row>
    <row r="63" spans="1:14" outlineLevel="1" x14ac:dyDescent="0.25">
      <c r="A63" s="101" t="s">
        <v>284</v>
      </c>
      <c r="B63" s="89" t="s">
        <v>285</v>
      </c>
      <c r="C63" s="78" t="s">
        <v>198</v>
      </c>
      <c r="D63" s="86">
        <f>'Study Parameters'!D35</f>
        <v>0</v>
      </c>
      <c r="E63" s="79" t="s">
        <v>156</v>
      </c>
      <c r="F63" s="84">
        <f>390*'Budget Parameters'!B4</f>
        <v>422.13600000000002</v>
      </c>
      <c r="G63" s="80">
        <f t="shared" si="13"/>
        <v>0</v>
      </c>
      <c r="H63" s="80">
        <f>G63+(G63*'Budget Parameters'!$C$22)</f>
        <v>0</v>
      </c>
      <c r="I63" s="87" t="s">
        <v>286</v>
      </c>
      <c r="J63" s="87"/>
      <c r="K63" s="82">
        <v>0</v>
      </c>
      <c r="L63" s="82">
        <v>0</v>
      </c>
      <c r="M63" s="83">
        <f t="shared" si="14"/>
        <v>0</v>
      </c>
      <c r="N63" s="83">
        <f t="shared" si="15"/>
        <v>0</v>
      </c>
    </row>
    <row r="64" spans="1:14" ht="20.5" outlineLevel="1" x14ac:dyDescent="0.25">
      <c r="A64" s="101" t="s">
        <v>287</v>
      </c>
      <c r="B64" s="102" t="s">
        <v>288</v>
      </c>
      <c r="C64" s="78" t="s">
        <v>289</v>
      </c>
      <c r="D64" s="79">
        <v>2</v>
      </c>
      <c r="E64" s="79" t="s">
        <v>156</v>
      </c>
      <c r="F64" s="84">
        <f>3640*'Budget Parameters'!B4</f>
        <v>3939.9360000000001</v>
      </c>
      <c r="G64" s="80">
        <f t="shared" si="13"/>
        <v>7879.8720000000003</v>
      </c>
      <c r="H64" s="80">
        <f t="shared" ref="H64:H69" si="16">G64</f>
        <v>7879.8720000000003</v>
      </c>
      <c r="I64" s="87" t="s">
        <v>290</v>
      </c>
      <c r="J64" s="87"/>
      <c r="K64" s="82">
        <v>0</v>
      </c>
      <c r="L64" s="82">
        <v>0</v>
      </c>
      <c r="M64" s="83">
        <f t="shared" si="14"/>
        <v>0</v>
      </c>
      <c r="N64" s="83">
        <f t="shared" si="15"/>
        <v>0</v>
      </c>
    </row>
    <row r="65" spans="1:14" ht="25" outlineLevel="1" x14ac:dyDescent="0.25">
      <c r="A65" s="101" t="s">
        <v>291</v>
      </c>
      <c r="B65" s="89" t="s">
        <v>292</v>
      </c>
      <c r="C65" s="78" t="s">
        <v>289</v>
      </c>
      <c r="D65" s="79">
        <v>0</v>
      </c>
      <c r="E65" s="79" t="s">
        <v>156</v>
      </c>
      <c r="F65" s="84">
        <f>2080*'Budget Parameters'!B4</f>
        <v>2251.3920000000003</v>
      </c>
      <c r="G65" s="80">
        <f t="shared" si="13"/>
        <v>0</v>
      </c>
      <c r="H65" s="80">
        <f t="shared" si="16"/>
        <v>0</v>
      </c>
      <c r="I65" s="87" t="s">
        <v>293</v>
      </c>
      <c r="J65" s="87"/>
      <c r="K65" s="82">
        <v>0</v>
      </c>
      <c r="L65" s="82">
        <v>0</v>
      </c>
      <c r="M65" s="83">
        <f t="shared" si="14"/>
        <v>0</v>
      </c>
      <c r="N65" s="83">
        <f t="shared" si="15"/>
        <v>0</v>
      </c>
    </row>
    <row r="66" spans="1:14" outlineLevel="1" x14ac:dyDescent="0.25">
      <c r="A66" s="101" t="s">
        <v>294</v>
      </c>
      <c r="B66" s="89" t="s">
        <v>295</v>
      </c>
      <c r="C66" s="78" t="s">
        <v>289</v>
      </c>
      <c r="D66" s="79">
        <v>2</v>
      </c>
      <c r="E66" s="79" t="s">
        <v>156</v>
      </c>
      <c r="F66" s="84">
        <f>3640*'Budget Parameters'!B4</f>
        <v>3939.9360000000001</v>
      </c>
      <c r="G66" s="80">
        <f t="shared" si="13"/>
        <v>7879.8720000000003</v>
      </c>
      <c r="H66" s="80">
        <f t="shared" si="16"/>
        <v>7879.8720000000003</v>
      </c>
      <c r="I66" s="87" t="s">
        <v>296</v>
      </c>
      <c r="J66" s="87"/>
      <c r="K66" s="82">
        <v>0</v>
      </c>
      <c r="L66" s="82">
        <v>0</v>
      </c>
      <c r="M66" s="83">
        <f t="shared" si="14"/>
        <v>0</v>
      </c>
      <c r="N66" s="83">
        <f t="shared" si="15"/>
        <v>0</v>
      </c>
    </row>
    <row r="67" spans="1:14" outlineLevel="1" x14ac:dyDescent="0.25">
      <c r="A67" s="101" t="s">
        <v>297</v>
      </c>
      <c r="B67" s="89" t="s">
        <v>298</v>
      </c>
      <c r="C67" s="78"/>
      <c r="D67" s="86">
        <f>1+(2*'Study Parameters'!D37)</f>
        <v>1</v>
      </c>
      <c r="E67" s="79" t="s">
        <v>156</v>
      </c>
      <c r="F67" s="84">
        <f>2080*'Budget Parameters'!B4</f>
        <v>2251.3920000000003</v>
      </c>
      <c r="G67" s="80">
        <f t="shared" si="13"/>
        <v>2251.3920000000003</v>
      </c>
      <c r="H67" s="80">
        <f t="shared" si="16"/>
        <v>2251.3920000000003</v>
      </c>
      <c r="I67" s="87" t="s">
        <v>299</v>
      </c>
      <c r="J67" s="87"/>
      <c r="K67" s="82">
        <v>0</v>
      </c>
      <c r="L67" s="82">
        <v>0</v>
      </c>
      <c r="M67" s="83">
        <f t="shared" si="14"/>
        <v>0</v>
      </c>
      <c r="N67" s="83">
        <f t="shared" si="15"/>
        <v>0</v>
      </c>
    </row>
    <row r="68" spans="1:14" ht="25" outlineLevel="1" x14ac:dyDescent="0.25">
      <c r="A68" s="101" t="s">
        <v>300</v>
      </c>
      <c r="B68" s="102" t="s">
        <v>301</v>
      </c>
      <c r="C68" s="78"/>
      <c r="D68" s="86">
        <f>'Study Parameters'!D38*2</f>
        <v>0</v>
      </c>
      <c r="E68" s="79" t="s">
        <v>156</v>
      </c>
      <c r="F68" s="84">
        <f>520*'Budget Parameters'!B4</f>
        <v>562.84800000000007</v>
      </c>
      <c r="G68" s="80">
        <f t="shared" si="13"/>
        <v>0</v>
      </c>
      <c r="H68" s="80">
        <f t="shared" si="16"/>
        <v>0</v>
      </c>
      <c r="I68" s="87" t="s">
        <v>302</v>
      </c>
      <c r="J68" s="87"/>
      <c r="K68" s="82">
        <v>0</v>
      </c>
      <c r="L68" s="82">
        <v>0</v>
      </c>
      <c r="M68" s="83">
        <f t="shared" si="14"/>
        <v>0</v>
      </c>
      <c r="N68" s="83">
        <f t="shared" si="15"/>
        <v>0</v>
      </c>
    </row>
    <row r="69" spans="1:14" ht="20.5" outlineLevel="1" x14ac:dyDescent="0.25">
      <c r="A69" s="101" t="s">
        <v>303</v>
      </c>
      <c r="B69" s="102" t="s">
        <v>301</v>
      </c>
      <c r="C69" s="78"/>
      <c r="D69" s="86">
        <f>'Study Parameters'!D35-'Study Parameters'!D38</f>
        <v>0</v>
      </c>
      <c r="E69" s="79" t="s">
        <v>156</v>
      </c>
      <c r="F69" s="84">
        <f>520*'Budget Parameters'!B4</f>
        <v>562.84800000000007</v>
      </c>
      <c r="G69" s="80">
        <f t="shared" si="13"/>
        <v>0</v>
      </c>
      <c r="H69" s="80">
        <f t="shared" si="16"/>
        <v>0</v>
      </c>
      <c r="I69" s="87" t="s">
        <v>304</v>
      </c>
      <c r="J69" s="87"/>
      <c r="K69" s="82">
        <v>0</v>
      </c>
      <c r="L69" s="82">
        <v>0</v>
      </c>
      <c r="M69" s="83">
        <f t="shared" si="14"/>
        <v>0</v>
      </c>
      <c r="N69" s="83">
        <f t="shared" si="15"/>
        <v>0</v>
      </c>
    </row>
    <row r="70" spans="1:14" ht="13" x14ac:dyDescent="0.3">
      <c r="A70" s="90" t="s">
        <v>171</v>
      </c>
      <c r="B70" s="91"/>
      <c r="C70" s="92"/>
      <c r="D70" s="93"/>
      <c r="E70" s="93"/>
      <c r="F70" s="103"/>
      <c r="G70" s="95">
        <f>SUM(G62:G69)</f>
        <v>18011.136000000002</v>
      </c>
      <c r="H70" s="95">
        <f>SUM(H62:H69)</f>
        <v>18011.136000000002</v>
      </c>
      <c r="I70" s="97"/>
      <c r="J70" s="97"/>
      <c r="K70" s="97"/>
      <c r="L70" s="97"/>
      <c r="M70" s="106">
        <f>SUM(M62:M69)</f>
        <v>0</v>
      </c>
      <c r="N70" s="106">
        <f>SUM(N62:N69)</f>
        <v>0</v>
      </c>
    </row>
    <row r="71" spans="1:14" ht="15.5" x14ac:dyDescent="0.35">
      <c r="A71" s="113">
        <v>10</v>
      </c>
      <c r="B71" s="113" t="s">
        <v>305</v>
      </c>
      <c r="C71" s="72"/>
      <c r="D71" s="73"/>
      <c r="E71" s="73"/>
      <c r="F71" s="104"/>
      <c r="G71" s="105"/>
      <c r="H71" s="84"/>
      <c r="I71" s="76"/>
      <c r="J71" s="76"/>
      <c r="K71" s="76"/>
      <c r="L71" s="76"/>
      <c r="M71" s="83"/>
      <c r="N71" s="83"/>
    </row>
    <row r="72" spans="1:14" outlineLevel="1" x14ac:dyDescent="0.25">
      <c r="A72" s="101" t="s">
        <v>306</v>
      </c>
      <c r="B72" s="89" t="s">
        <v>307</v>
      </c>
      <c r="C72" s="78" t="s">
        <v>289</v>
      </c>
      <c r="D72" s="79">
        <v>2</v>
      </c>
      <c r="E72" s="79" t="s">
        <v>156</v>
      </c>
      <c r="F72" s="84">
        <f>2080*'Budget Parameters'!B4</f>
        <v>2251.3920000000003</v>
      </c>
      <c r="G72" s="80">
        <f>F72*D72</f>
        <v>4502.7840000000006</v>
      </c>
      <c r="H72" s="80">
        <f>G72</f>
        <v>4502.7840000000006</v>
      </c>
      <c r="I72" s="87"/>
      <c r="J72" s="87"/>
      <c r="K72" s="82">
        <v>0</v>
      </c>
      <c r="L72" s="82">
        <v>0</v>
      </c>
      <c r="M72" s="83">
        <f>K72*H72</f>
        <v>0</v>
      </c>
      <c r="N72" s="83">
        <f>L72*H72</f>
        <v>0</v>
      </c>
    </row>
    <row r="73" spans="1:14" outlineLevel="1" x14ac:dyDescent="0.25">
      <c r="A73" s="101" t="s">
        <v>308</v>
      </c>
      <c r="B73" s="89" t="s">
        <v>309</v>
      </c>
      <c r="C73" s="78" t="s">
        <v>289</v>
      </c>
      <c r="D73" s="86">
        <f>D67*3</f>
        <v>3</v>
      </c>
      <c r="E73" s="79" t="s">
        <v>156</v>
      </c>
      <c r="F73" s="84">
        <f>208*'Budget Parameters'!B4</f>
        <v>225.13920000000002</v>
      </c>
      <c r="G73" s="80">
        <f>F73*D73</f>
        <v>675.41759999999999</v>
      </c>
      <c r="H73" s="80">
        <f>G73</f>
        <v>675.41759999999999</v>
      </c>
      <c r="I73" s="87" t="s">
        <v>310</v>
      </c>
      <c r="J73" s="81"/>
      <c r="K73" s="82">
        <v>0</v>
      </c>
      <c r="L73" s="82">
        <v>0</v>
      </c>
      <c r="M73" s="83">
        <f>K73*H73</f>
        <v>0</v>
      </c>
      <c r="N73" s="83">
        <f>L73*H73</f>
        <v>0</v>
      </c>
    </row>
    <row r="74" spans="1:14" outlineLevel="1" x14ac:dyDescent="0.25">
      <c r="A74" s="101" t="s">
        <v>311</v>
      </c>
      <c r="B74" s="89" t="s">
        <v>312</v>
      </c>
      <c r="C74" s="78" t="s">
        <v>313</v>
      </c>
      <c r="D74" s="86"/>
      <c r="E74" s="79"/>
      <c r="F74" s="84"/>
      <c r="G74" s="80"/>
      <c r="H74" s="80"/>
      <c r="I74" s="87"/>
      <c r="J74" s="87"/>
      <c r="K74" s="82">
        <v>0</v>
      </c>
      <c r="L74" s="82">
        <v>0</v>
      </c>
      <c r="M74" s="83">
        <f>K74*H74</f>
        <v>0</v>
      </c>
      <c r="N74" s="83">
        <f>L74*H74</f>
        <v>0</v>
      </c>
    </row>
    <row r="75" spans="1:14" ht="13" x14ac:dyDescent="0.3">
      <c r="A75" s="90" t="s">
        <v>171</v>
      </c>
      <c r="B75" s="91"/>
      <c r="C75" s="92"/>
      <c r="D75" s="93"/>
      <c r="E75" s="93"/>
      <c r="F75" s="95"/>
      <c r="G75" s="95">
        <f>SUM(G72:G74)</f>
        <v>5178.2016000000003</v>
      </c>
      <c r="H75" s="95">
        <f>SUM(H72:H74)</f>
        <v>5178.2016000000003</v>
      </c>
      <c r="I75" s="97"/>
      <c r="J75" s="97"/>
      <c r="K75" s="97"/>
      <c r="L75" s="97"/>
      <c r="M75" s="106">
        <f>SUM(M72:M74)</f>
        <v>0</v>
      </c>
      <c r="N75" s="106">
        <f>SUM(N72:N74)</f>
        <v>0</v>
      </c>
    </row>
    <row r="76" spans="1:14" ht="15.5" x14ac:dyDescent="0.35">
      <c r="A76" s="71">
        <v>11</v>
      </c>
      <c r="B76" s="71" t="s">
        <v>314</v>
      </c>
      <c r="C76" s="72"/>
      <c r="D76" s="73"/>
      <c r="E76" s="73"/>
      <c r="F76" s="104"/>
      <c r="G76" s="105"/>
      <c r="H76" s="84"/>
      <c r="I76" s="76"/>
      <c r="J76" s="76"/>
      <c r="K76" s="76"/>
      <c r="L76" s="76"/>
      <c r="M76" s="83"/>
      <c r="N76" s="83"/>
    </row>
    <row r="77" spans="1:14" outlineLevel="1" x14ac:dyDescent="0.25">
      <c r="A77" s="101" t="s">
        <v>315</v>
      </c>
      <c r="B77" s="89" t="s">
        <v>316</v>
      </c>
      <c r="C77" s="78" t="s">
        <v>198</v>
      </c>
      <c r="D77" s="79"/>
      <c r="E77" s="79" t="s">
        <v>89</v>
      </c>
      <c r="F77" s="80">
        <f>VLOOKUP(E77,'Budget Parameters'!$A$7:$B$18,2,FALSE())</f>
        <v>67.541759999999996</v>
      </c>
      <c r="G77" s="80">
        <f>D77*F77</f>
        <v>0</v>
      </c>
      <c r="H77" s="80">
        <f>G77+(G77*'Budget Parameters'!$C$22)</f>
        <v>0</v>
      </c>
      <c r="I77" s="87"/>
      <c r="J77" s="87"/>
      <c r="K77" s="82">
        <v>0</v>
      </c>
      <c r="L77" s="82">
        <v>0</v>
      </c>
      <c r="M77" s="83">
        <f t="shared" ref="M77:M82" si="17">K77*H77</f>
        <v>0</v>
      </c>
      <c r="N77" s="83">
        <f t="shared" ref="N77:N82" si="18">L77*H77</f>
        <v>0</v>
      </c>
    </row>
    <row r="78" spans="1:14" outlineLevel="1" x14ac:dyDescent="0.25">
      <c r="A78" s="101" t="s">
        <v>317</v>
      </c>
      <c r="B78" s="89" t="s">
        <v>318</v>
      </c>
      <c r="C78" s="78" t="s">
        <v>319</v>
      </c>
      <c r="D78" s="79"/>
      <c r="E78" s="79" t="s">
        <v>320</v>
      </c>
      <c r="F78" s="80"/>
      <c r="G78" s="80">
        <f>D78*F78</f>
        <v>0</v>
      </c>
      <c r="H78" s="80">
        <f>G78</f>
        <v>0</v>
      </c>
      <c r="I78" s="87"/>
      <c r="J78" s="87"/>
      <c r="K78" s="82">
        <v>0</v>
      </c>
      <c r="L78" s="82">
        <v>0</v>
      </c>
      <c r="M78" s="83">
        <f t="shared" si="17"/>
        <v>0</v>
      </c>
      <c r="N78" s="83">
        <f t="shared" si="18"/>
        <v>0</v>
      </c>
    </row>
    <row r="79" spans="1:14" outlineLevel="1" x14ac:dyDescent="0.25">
      <c r="A79" s="101" t="s">
        <v>321</v>
      </c>
      <c r="B79" s="89" t="s">
        <v>322</v>
      </c>
      <c r="C79" s="78" t="s">
        <v>198</v>
      </c>
      <c r="D79" s="79"/>
      <c r="E79" s="79" t="s">
        <v>320</v>
      </c>
      <c r="F79" s="84"/>
      <c r="G79" s="80">
        <f>D79*F79</f>
        <v>0</v>
      </c>
      <c r="H79" s="80">
        <f>G79</f>
        <v>0</v>
      </c>
      <c r="I79" s="87"/>
      <c r="J79" s="87"/>
      <c r="K79" s="82">
        <v>0</v>
      </c>
      <c r="L79" s="82">
        <v>0</v>
      </c>
      <c r="M79" s="83">
        <f t="shared" si="17"/>
        <v>0</v>
      </c>
      <c r="N79" s="83">
        <f t="shared" si="18"/>
        <v>0</v>
      </c>
    </row>
    <row r="80" spans="1:14" outlineLevel="1" x14ac:dyDescent="0.25">
      <c r="A80" s="101" t="s">
        <v>323</v>
      </c>
      <c r="B80" s="89" t="s">
        <v>324</v>
      </c>
      <c r="C80" s="78" t="s">
        <v>198</v>
      </c>
      <c r="D80" s="79"/>
      <c r="E80" s="79" t="s">
        <v>320</v>
      </c>
      <c r="F80" s="84"/>
      <c r="G80" s="80">
        <f>D80*F80</f>
        <v>0</v>
      </c>
      <c r="H80" s="80">
        <f>G80</f>
        <v>0</v>
      </c>
      <c r="I80" s="87"/>
      <c r="J80" s="87"/>
      <c r="K80" s="82">
        <v>0</v>
      </c>
      <c r="L80" s="82">
        <v>0</v>
      </c>
      <c r="M80" s="83">
        <f t="shared" si="17"/>
        <v>0</v>
      </c>
      <c r="N80" s="83">
        <f t="shared" si="18"/>
        <v>0</v>
      </c>
    </row>
    <row r="81" spans="1:14" outlineLevel="1" x14ac:dyDescent="0.25">
      <c r="A81" s="101" t="s">
        <v>325</v>
      </c>
      <c r="B81" s="89" t="s">
        <v>326</v>
      </c>
      <c r="C81" s="78" t="s">
        <v>198</v>
      </c>
      <c r="D81" s="79"/>
      <c r="E81" s="79" t="s">
        <v>320</v>
      </c>
      <c r="F81" s="84"/>
      <c r="G81" s="80">
        <f>D81*F81</f>
        <v>0</v>
      </c>
      <c r="H81" s="80">
        <f>G81</f>
        <v>0</v>
      </c>
      <c r="I81" s="87"/>
      <c r="J81" s="87"/>
      <c r="K81" s="82">
        <v>0</v>
      </c>
      <c r="L81" s="82">
        <v>0</v>
      </c>
      <c r="M81" s="83">
        <f t="shared" si="17"/>
        <v>0</v>
      </c>
      <c r="N81" s="83">
        <f t="shared" si="18"/>
        <v>0</v>
      </c>
    </row>
    <row r="82" spans="1:14" ht="25" outlineLevel="1" x14ac:dyDescent="0.25">
      <c r="A82" s="101" t="s">
        <v>327</v>
      </c>
      <c r="B82" s="89" t="s">
        <v>328</v>
      </c>
      <c r="C82" s="78"/>
      <c r="D82" s="79"/>
      <c r="E82" s="79" t="s">
        <v>329</v>
      </c>
      <c r="F82" s="114">
        <f>'Budget Parameters'!C25</f>
        <v>0.09</v>
      </c>
      <c r="G82" s="80"/>
      <c r="H82" s="80"/>
      <c r="I82" s="87" t="s">
        <v>330</v>
      </c>
      <c r="J82" s="87"/>
      <c r="K82" s="82">
        <v>0</v>
      </c>
      <c r="L82" s="82">
        <v>0</v>
      </c>
      <c r="M82" s="83">
        <f t="shared" si="17"/>
        <v>0</v>
      </c>
      <c r="N82" s="83">
        <f t="shared" si="18"/>
        <v>0</v>
      </c>
    </row>
    <row r="83" spans="1:14" ht="13" x14ac:dyDescent="0.3">
      <c r="A83" s="90" t="s">
        <v>171</v>
      </c>
      <c r="B83" s="91"/>
      <c r="C83" s="92"/>
      <c r="D83" s="93"/>
      <c r="E83" s="93"/>
      <c r="F83" s="103"/>
      <c r="G83" s="95">
        <f>SUM(G77:G81)</f>
        <v>0</v>
      </c>
      <c r="H83" s="95">
        <f>SUM(H77:H81)</f>
        <v>0</v>
      </c>
      <c r="I83" s="97"/>
      <c r="J83" s="97"/>
      <c r="K83" s="97"/>
      <c r="L83" s="97"/>
      <c r="M83" s="106">
        <f>SUM(M77:M82)</f>
        <v>0</v>
      </c>
      <c r="N83" s="106">
        <f>SUM(N77:N82)</f>
        <v>0</v>
      </c>
    </row>
    <row r="84" spans="1:14" ht="15.5" x14ac:dyDescent="0.35">
      <c r="A84" s="71">
        <v>12</v>
      </c>
      <c r="B84" s="107" t="s">
        <v>331</v>
      </c>
      <c r="C84" s="72"/>
      <c r="D84" s="73"/>
      <c r="E84" s="73"/>
      <c r="F84" s="105"/>
      <c r="G84" s="105"/>
      <c r="H84" s="84"/>
      <c r="I84" s="87"/>
      <c r="J84" s="87"/>
      <c r="K84" s="87"/>
      <c r="L84" s="87"/>
      <c r="M84" s="83"/>
      <c r="N84" s="83"/>
    </row>
    <row r="85" spans="1:14" outlineLevel="1" x14ac:dyDescent="0.25">
      <c r="A85" s="101" t="s">
        <v>332</v>
      </c>
      <c r="B85" s="89" t="s">
        <v>333</v>
      </c>
      <c r="C85" s="78" t="s">
        <v>334</v>
      </c>
      <c r="D85" s="79"/>
      <c r="E85" s="79"/>
      <c r="F85" s="84"/>
      <c r="G85" s="84">
        <f t="shared" ref="G85:H87" si="19">F85</f>
        <v>0</v>
      </c>
      <c r="H85" s="84">
        <f t="shared" si="19"/>
        <v>0</v>
      </c>
      <c r="I85" s="87"/>
      <c r="J85" s="87"/>
      <c r="K85" s="82">
        <v>0</v>
      </c>
      <c r="L85" s="82">
        <v>0</v>
      </c>
      <c r="M85" s="83">
        <f>K85*H85</f>
        <v>0</v>
      </c>
      <c r="N85" s="83">
        <f>L85*H85</f>
        <v>0</v>
      </c>
    </row>
    <row r="86" spans="1:14" outlineLevel="1" x14ac:dyDescent="0.25">
      <c r="A86" s="101" t="s">
        <v>335</v>
      </c>
      <c r="B86" s="89" t="s">
        <v>336</v>
      </c>
      <c r="C86" s="78" t="s">
        <v>337</v>
      </c>
      <c r="D86" s="79"/>
      <c r="E86" s="79"/>
      <c r="F86" s="84"/>
      <c r="G86" s="84">
        <f t="shared" si="19"/>
        <v>0</v>
      </c>
      <c r="H86" s="84">
        <f t="shared" si="19"/>
        <v>0</v>
      </c>
      <c r="I86" s="87"/>
      <c r="J86" s="87"/>
      <c r="K86" s="82">
        <v>0</v>
      </c>
      <c r="L86" s="82">
        <v>0</v>
      </c>
      <c r="M86" s="83">
        <f>K86*H86</f>
        <v>0</v>
      </c>
      <c r="N86" s="83">
        <f>L86*H86</f>
        <v>0</v>
      </c>
    </row>
    <row r="87" spans="1:14" outlineLevel="1" x14ac:dyDescent="0.25">
      <c r="A87" s="101" t="s">
        <v>338</v>
      </c>
      <c r="B87" s="89" t="s">
        <v>339</v>
      </c>
      <c r="C87" s="78" t="s">
        <v>334</v>
      </c>
      <c r="D87" s="79"/>
      <c r="E87" s="79"/>
      <c r="F87" s="84"/>
      <c r="G87" s="84">
        <f t="shared" si="19"/>
        <v>0</v>
      </c>
      <c r="H87" s="84">
        <f t="shared" si="19"/>
        <v>0</v>
      </c>
      <c r="I87" s="87"/>
      <c r="J87" s="87"/>
      <c r="K87" s="82">
        <v>0</v>
      </c>
      <c r="L87" s="82">
        <v>0</v>
      </c>
      <c r="M87" s="83">
        <f>K87*H87</f>
        <v>0</v>
      </c>
      <c r="N87" s="83">
        <f>L87*H87</f>
        <v>0</v>
      </c>
    </row>
    <row r="88" spans="1:14" ht="50" outlineLevel="1" x14ac:dyDescent="0.25">
      <c r="A88" s="101" t="s">
        <v>340</v>
      </c>
      <c r="B88" s="89" t="s">
        <v>341</v>
      </c>
      <c r="C88" s="78"/>
      <c r="D88" s="79"/>
      <c r="E88" s="79"/>
      <c r="F88" s="84"/>
      <c r="G88" s="84"/>
      <c r="H88" s="84"/>
      <c r="I88" s="87" t="s">
        <v>342</v>
      </c>
      <c r="J88" s="87"/>
      <c r="K88" s="82">
        <v>0</v>
      </c>
      <c r="L88" s="82">
        <v>0</v>
      </c>
      <c r="M88" s="83">
        <f>K88*H88</f>
        <v>0</v>
      </c>
      <c r="N88" s="83">
        <f>L88*H88</f>
        <v>0</v>
      </c>
    </row>
    <row r="89" spans="1:14" ht="25" outlineLevel="1" x14ac:dyDescent="0.25">
      <c r="A89" s="101" t="s">
        <v>343</v>
      </c>
      <c r="B89" s="89" t="s">
        <v>344</v>
      </c>
      <c r="C89" s="78"/>
      <c r="D89" s="79"/>
      <c r="E89" s="79" t="s">
        <v>329</v>
      </c>
      <c r="F89" s="114">
        <f>'Budget Parameters'!C24</f>
        <v>0.21</v>
      </c>
      <c r="G89" s="80">
        <f>F89*SUBTOTAL(9,G85:G87)</f>
        <v>0</v>
      </c>
      <c r="H89" s="80">
        <f>G89</f>
        <v>0</v>
      </c>
      <c r="I89" s="87" t="s">
        <v>330</v>
      </c>
      <c r="J89" s="87"/>
      <c r="K89" s="82">
        <v>0</v>
      </c>
      <c r="L89" s="82">
        <v>0</v>
      </c>
      <c r="M89" s="83">
        <f>K89*H89</f>
        <v>0</v>
      </c>
      <c r="N89" s="83">
        <f>L89*H89</f>
        <v>0</v>
      </c>
    </row>
    <row r="90" spans="1:14" ht="13" x14ac:dyDescent="0.3">
      <c r="A90" s="90" t="s">
        <v>171</v>
      </c>
      <c r="B90" s="91"/>
      <c r="C90" s="92"/>
      <c r="D90" s="93"/>
      <c r="E90" s="93"/>
      <c r="F90" s="95"/>
      <c r="G90" s="95">
        <f>SUM(G85:G89)</f>
        <v>0</v>
      </c>
      <c r="H90" s="95">
        <f>SUM(H85:H89)</f>
        <v>0</v>
      </c>
      <c r="I90" s="97"/>
      <c r="J90" s="97"/>
      <c r="K90" s="97"/>
      <c r="L90" s="97"/>
      <c r="M90" s="106">
        <f>SUM(M85:M89)</f>
        <v>0</v>
      </c>
      <c r="N90" s="106">
        <f>SUM(N85:N89)</f>
        <v>0</v>
      </c>
    </row>
    <row r="91" spans="1:14" x14ac:dyDescent="0.25">
      <c r="F91" s="115"/>
      <c r="G91" s="116"/>
      <c r="H91" s="84"/>
      <c r="K91" s="59"/>
      <c r="L91" s="59"/>
      <c r="M91" s="117"/>
      <c r="N91" s="117"/>
    </row>
    <row r="92" spans="1:14" ht="15.5" x14ac:dyDescent="0.35">
      <c r="A92" s="187" t="s">
        <v>345</v>
      </c>
      <c r="B92" s="187"/>
      <c r="C92" s="118"/>
      <c r="D92" s="119"/>
      <c r="E92" s="119"/>
      <c r="F92" s="120"/>
      <c r="G92" s="120">
        <f>SUM(G90,G83,G70,G54,G46,G42,G33,G30,G21,G10,G60,G75)</f>
        <v>198203.1808</v>
      </c>
      <c r="H92" s="120">
        <f>SUM(H90,H83,H70,H54,H46,H42,H33,H30,H21,H10,H60,H75)</f>
        <v>198563.40351999999</v>
      </c>
      <c r="I92" s="121"/>
      <c r="J92" s="121"/>
      <c r="K92" s="121"/>
      <c r="L92" s="121"/>
      <c r="M92" s="120">
        <f>SUM(M90,M83,M70,M54,M46,M42,M33,M30,M21,M10,M60,M75)</f>
        <v>-20000</v>
      </c>
      <c r="N92" s="120">
        <f>SUM(N90,N83,N70,N54,N46,N42,N33,N30,N21,N10,N60,N75)</f>
        <v>0</v>
      </c>
    </row>
    <row r="94" spans="1:14" x14ac:dyDescent="0.25">
      <c r="B94" s="55" t="s">
        <v>346</v>
      </c>
      <c r="H94" s="116">
        <f>H10+H21+H30+H42+H46+H54+H60+H70+H75-H53</f>
        <v>187739.40352000002</v>
      </c>
      <c r="I94" s="122"/>
      <c r="J94" s="122"/>
      <c r="K94" s="123"/>
      <c r="L94" s="123"/>
      <c r="M94" s="116">
        <f>M10+M21+M30+M42+M46+M54+M60+M70+M75-M53</f>
        <v>-20000</v>
      </c>
      <c r="N94" s="116">
        <f>N10+N21+N30+N42+N46+N54+N60+N70+N75-N53</f>
        <v>0</v>
      </c>
    </row>
    <row r="95" spans="1:14" x14ac:dyDescent="0.25">
      <c r="B95" s="55" t="s">
        <v>347</v>
      </c>
      <c r="H95" s="116">
        <f>H33+H83+H90+H53</f>
        <v>10824</v>
      </c>
      <c r="I95" s="122"/>
      <c r="J95" s="122"/>
      <c r="K95" s="123"/>
      <c r="L95" s="123"/>
      <c r="M95" s="116">
        <f>M33+M83+M90+M53</f>
        <v>0</v>
      </c>
      <c r="N95" s="116">
        <f>N33+N83+N90+N53</f>
        <v>0</v>
      </c>
    </row>
    <row r="96" spans="1:14" x14ac:dyDescent="0.25">
      <c r="B96" s="55" t="s">
        <v>348</v>
      </c>
      <c r="H96" s="116">
        <f>'Site Costs BE'!B27+'Site Costs NL'!B27</f>
        <v>0</v>
      </c>
      <c r="I96" s="122"/>
      <c r="J96" s="122"/>
      <c r="K96" s="123"/>
      <c r="L96" s="123"/>
      <c r="M96" s="116">
        <f>'Site Costs BE'!G27+'Site Costs NL'!G27</f>
        <v>0</v>
      </c>
      <c r="N96" s="116">
        <f>'Site Costs BE'!H27+'Site Costs NL'!H27</f>
        <v>0</v>
      </c>
    </row>
  </sheetData>
  <autoFilter ref="A1:I90" xr:uid="{00000000-0009-0000-0000-000004000000}"/>
  <mergeCells count="1">
    <mergeCell ref="A92:B92"/>
  </mergeCells>
  <hyperlinks>
    <hyperlink ref="I62" location="'Budget Parameters'!A1" display="for the correct calculation see budget parameters, How to calculate PM time" xr:uid="{00000000-0004-0000-0400-000000000000}"/>
  </hyperlinks>
  <pageMargins left="0.70833333333333304" right="0.70833333333333304" top="0.74791666666666701" bottom="0.74861111111111101" header="0.51180555555555496" footer="0.31527777777777799"/>
  <pageSetup paperSize="9" firstPageNumber="0" fitToHeight="0" orientation="landscape" horizontalDpi="300" verticalDpi="300"/>
  <headerFooter>
    <oddFooter>&amp;L&amp;8&amp;F
Copyright © 2022 by KCE Trials. All rights reserved.&amp;C&amp;8Page &amp;P/&amp;N&amp;R&amp;8&amp;A
BeNeFIT Budget tool 4.1</oddFooter>
  </headerFooter>
  <rowBreaks count="2" manualBreakCount="2">
    <brk id="46" max="16383" man="1"/>
    <brk id="83" max="16383" man="1"/>
  </rowBreaks>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J27"/>
  <sheetViews>
    <sheetView topLeftCell="A16" zoomScaleNormal="100" workbookViewId="0">
      <selection activeCell="A16" sqref="A16"/>
    </sheetView>
  </sheetViews>
  <sheetFormatPr defaultColWidth="9.1796875" defaultRowHeight="14.5" x14ac:dyDescent="0.35"/>
  <cols>
    <col min="1" max="1" width="29.453125" style="124" customWidth="1"/>
    <col min="2" max="2" width="11.453125" style="124" customWidth="1"/>
    <col min="3" max="3" width="8.54296875" style="124" customWidth="1"/>
    <col min="4" max="4" width="8.453125" style="124" customWidth="1"/>
    <col min="5" max="6" width="9.1796875" style="124"/>
    <col min="7" max="7" width="13.453125" style="124" customWidth="1"/>
    <col min="8" max="8" width="16.81640625" style="124" customWidth="1"/>
    <col min="9" max="15" width="9.1796875" style="124"/>
    <col min="16" max="16" width="5.453125" style="124" customWidth="1"/>
    <col min="17" max="19" width="9.1796875" style="124" hidden="1"/>
    <col min="20" max="1024" width="9.1796875" style="124"/>
  </cols>
  <sheetData>
    <row r="1" spans="1:19" s="55" customFormat="1" ht="20.25" customHeight="1" x14ac:dyDescent="0.35">
      <c r="A1" s="6" t="s">
        <v>6</v>
      </c>
      <c r="B1" s="7"/>
      <c r="C1" s="7" t="str">
        <f>'Study Parameters'!B7</f>
        <v>Number</v>
      </c>
      <c r="D1" s="7"/>
      <c r="E1" s="7"/>
      <c r="F1" s="7"/>
      <c r="G1" s="7"/>
      <c r="H1" s="125" t="s">
        <v>15</v>
      </c>
      <c r="J1" s="188" t="s">
        <v>349</v>
      </c>
      <c r="K1" s="188"/>
      <c r="L1" s="188"/>
      <c r="M1" s="188"/>
      <c r="N1" s="188"/>
      <c r="O1" s="126"/>
      <c r="P1" s="126"/>
      <c r="Q1" s="126"/>
      <c r="R1" s="126"/>
      <c r="S1" s="126"/>
    </row>
    <row r="2" spans="1:19" ht="15.75" customHeight="1" x14ac:dyDescent="0.35">
      <c r="A2" s="127"/>
      <c r="B2"/>
      <c r="C2"/>
      <c r="D2"/>
      <c r="E2"/>
      <c r="F2"/>
      <c r="G2"/>
      <c r="H2" s="11"/>
      <c r="J2" s="188"/>
      <c r="K2" s="188"/>
      <c r="L2" s="188"/>
      <c r="M2" s="188"/>
      <c r="N2" s="188"/>
      <c r="O2" s="126"/>
      <c r="P2" s="126"/>
      <c r="Q2" s="126"/>
      <c r="R2" s="126"/>
      <c r="S2" s="126"/>
    </row>
    <row r="3" spans="1:19" s="55" customFormat="1" ht="24" customHeight="1" x14ac:dyDescent="0.35">
      <c r="A3" s="6" t="s">
        <v>350</v>
      </c>
      <c r="B3" s="7"/>
      <c r="C3" s="7"/>
      <c r="D3" s="7"/>
      <c r="E3" s="7"/>
      <c r="F3" s="7"/>
      <c r="G3" s="7"/>
      <c r="H3" s="13"/>
      <c r="J3" s="188"/>
      <c r="K3" s="188"/>
      <c r="L3" s="188"/>
      <c r="M3" s="188"/>
      <c r="N3" s="188"/>
      <c r="O3" s="126"/>
      <c r="P3" s="126"/>
      <c r="Q3" s="126"/>
      <c r="R3" s="126"/>
      <c r="S3" s="126"/>
    </row>
    <row r="4" spans="1:19" ht="42" x14ac:dyDescent="0.35">
      <c r="A4" s="128" t="s">
        <v>351</v>
      </c>
      <c r="B4" s="129" t="s">
        <v>352</v>
      </c>
      <c r="C4" s="129" t="s">
        <v>353</v>
      </c>
      <c r="D4" s="189" t="s">
        <v>354</v>
      </c>
      <c r="E4" s="189"/>
      <c r="F4" s="189"/>
      <c r="G4" s="129" t="s">
        <v>355</v>
      </c>
      <c r="H4" s="128" t="s">
        <v>356</v>
      </c>
      <c r="J4" s="126"/>
      <c r="K4" s="126"/>
      <c r="L4" s="126"/>
      <c r="M4" s="126"/>
      <c r="N4" s="126"/>
      <c r="O4" s="126"/>
      <c r="P4" s="126"/>
      <c r="Q4" s="126"/>
      <c r="R4" s="126"/>
      <c r="S4" s="126"/>
    </row>
    <row r="5" spans="1:19" x14ac:dyDescent="0.35">
      <c r="A5" s="130"/>
      <c r="B5" s="130"/>
      <c r="C5" s="131"/>
      <c r="D5" s="132" t="s">
        <v>357</v>
      </c>
      <c r="E5" s="132" t="s">
        <v>358</v>
      </c>
      <c r="F5" s="132" t="s">
        <v>359</v>
      </c>
      <c r="G5" s="131"/>
      <c r="H5" s="131"/>
    </row>
    <row r="6" spans="1:19" x14ac:dyDescent="0.35">
      <c r="A6" s="133" t="s">
        <v>360</v>
      </c>
      <c r="B6" s="130"/>
      <c r="C6" s="131"/>
      <c r="D6" s="134"/>
      <c r="E6" s="134"/>
      <c r="F6" s="134"/>
      <c r="G6" s="131"/>
      <c r="H6" s="131"/>
    </row>
    <row r="7" spans="1:19" x14ac:dyDescent="0.35">
      <c r="A7" s="135" t="s">
        <v>361</v>
      </c>
      <c r="B7" s="136">
        <f>30/60*'Budget Parameters'!B17</f>
        <v>56.284800000000004</v>
      </c>
      <c r="C7" s="136">
        <f>30/60*'Budget Parameters'!B17</f>
        <v>56.284800000000004</v>
      </c>
      <c r="D7" s="137"/>
      <c r="E7" s="137"/>
      <c r="F7" s="137"/>
      <c r="G7" s="137"/>
      <c r="H7" s="137"/>
    </row>
    <row r="8" spans="1:19" x14ac:dyDescent="0.35">
      <c r="A8" s="135" t="s">
        <v>362</v>
      </c>
      <c r="B8" s="136">
        <f>'Budget Parameters'!D48</f>
        <v>17.3184</v>
      </c>
      <c r="C8" s="136"/>
      <c r="D8" s="136"/>
      <c r="E8" s="136"/>
      <c r="F8" s="136"/>
      <c r="G8" s="136"/>
      <c r="H8" s="136"/>
    </row>
    <row r="9" spans="1:19" x14ac:dyDescent="0.35">
      <c r="A9" s="135" t="s">
        <v>363</v>
      </c>
      <c r="B9" s="136">
        <f>'Budget Parameters'!B17</f>
        <v>112.56960000000001</v>
      </c>
      <c r="C9" s="136">
        <f>30/60*'Budget Parameters'!B17</f>
        <v>56.284800000000004</v>
      </c>
      <c r="D9" s="136">
        <f>10/60*'Budget Parameters'!$B$17</f>
        <v>18.761600000000001</v>
      </c>
      <c r="E9" s="136">
        <f>10/60*'Budget Parameters'!$B$17</f>
        <v>18.761600000000001</v>
      </c>
      <c r="F9" s="136">
        <f>10/60*'Budget Parameters'!$B$17</f>
        <v>18.761600000000001</v>
      </c>
      <c r="G9" s="136">
        <f>10/60*'Budget Parameters'!$B$17</f>
        <v>18.761600000000001</v>
      </c>
      <c r="H9" s="136">
        <f>10/60*'Budget Parameters'!$B$17</f>
        <v>18.761600000000001</v>
      </c>
    </row>
    <row r="10" spans="1:19" ht="20" x14ac:dyDescent="0.35">
      <c r="A10" s="135" t="s">
        <v>364</v>
      </c>
      <c r="B10" s="136">
        <f>'Budget Parameters'!B15</f>
        <v>50.19</v>
      </c>
      <c r="C10" s="136">
        <f>2.5*B10</f>
        <v>125.47499999999999</v>
      </c>
      <c r="D10" s="136">
        <f>2*'Budget Parameters'!$B$15</f>
        <v>100.38</v>
      </c>
      <c r="E10" s="136">
        <f>2*'Budget Parameters'!$B$15</f>
        <v>100.38</v>
      </c>
      <c r="F10" s="136">
        <f>2*'Budget Parameters'!$B$15</f>
        <v>100.38</v>
      </c>
      <c r="G10" s="136">
        <f>2*'Budget Parameters'!$B$15</f>
        <v>100.38</v>
      </c>
      <c r="H10" s="136">
        <f>2*'Budget Parameters'!$B$15</f>
        <v>100.38</v>
      </c>
    </row>
    <row r="11" spans="1:19" x14ac:dyDescent="0.35">
      <c r="A11" s="135"/>
      <c r="B11" s="136"/>
      <c r="C11" s="136"/>
      <c r="D11" s="137"/>
      <c r="E11" s="137"/>
      <c r="F11" s="137"/>
      <c r="G11" s="137"/>
      <c r="H11" s="137"/>
    </row>
    <row r="12" spans="1:19" x14ac:dyDescent="0.35">
      <c r="A12" s="138" t="s">
        <v>365</v>
      </c>
      <c r="B12" s="139"/>
      <c r="C12" s="139">
        <f t="shared" ref="C12:H12" si="0">SUM(C7:C11)</f>
        <v>238.0446</v>
      </c>
      <c r="D12" s="139">
        <f t="shared" si="0"/>
        <v>119.1416</v>
      </c>
      <c r="E12" s="139">
        <f t="shared" si="0"/>
        <v>119.1416</v>
      </c>
      <c r="F12" s="139">
        <f t="shared" si="0"/>
        <v>119.1416</v>
      </c>
      <c r="G12" s="139">
        <f t="shared" si="0"/>
        <v>119.1416</v>
      </c>
      <c r="H12" s="139">
        <f t="shared" si="0"/>
        <v>119.1416</v>
      </c>
    </row>
    <row r="13" spans="1:19" x14ac:dyDescent="0.35">
      <c r="A13" s="135" t="s">
        <v>366</v>
      </c>
      <c r="B13" s="136"/>
      <c r="C13" s="139">
        <f>'Budget Parameters'!$C$22*'Site Costs BE'!C12</f>
        <v>23.804460000000002</v>
      </c>
      <c r="D13" s="139">
        <f>'Budget Parameters'!$C$22*'Site Costs BE'!D12</f>
        <v>11.914160000000001</v>
      </c>
      <c r="E13" s="139">
        <f>'Budget Parameters'!$C$22*'Site Costs BE'!E12</f>
        <v>11.914160000000001</v>
      </c>
      <c r="F13" s="139">
        <f>'Budget Parameters'!$C$22*'Site Costs BE'!F12</f>
        <v>11.914160000000001</v>
      </c>
      <c r="G13" s="139">
        <f>'Budget Parameters'!$C$22*'Site Costs BE'!G12</f>
        <v>11.914160000000001</v>
      </c>
      <c r="H13" s="139">
        <f>'Budget Parameters'!$C$22*'Site Costs BE'!H12</f>
        <v>11.914160000000001</v>
      </c>
    </row>
    <row r="14" spans="1:19" x14ac:dyDescent="0.35">
      <c r="A14" s="140" t="s">
        <v>366</v>
      </c>
      <c r="B14" s="139"/>
      <c r="C14" s="139">
        <f t="shared" ref="C14:H14" si="1">SUM(C12:C13)</f>
        <v>261.84906000000001</v>
      </c>
      <c r="D14" s="139">
        <f t="shared" si="1"/>
        <v>131.05575999999999</v>
      </c>
      <c r="E14" s="139">
        <f t="shared" si="1"/>
        <v>131.05575999999999</v>
      </c>
      <c r="F14" s="139">
        <f t="shared" si="1"/>
        <v>131.05575999999999</v>
      </c>
      <c r="G14" s="139">
        <f t="shared" si="1"/>
        <v>131.05575999999999</v>
      </c>
      <c r="H14" s="139">
        <f t="shared" si="1"/>
        <v>131.05575999999999</v>
      </c>
    </row>
    <row r="15" spans="1:19" x14ac:dyDescent="0.35">
      <c r="A15" s="140" t="s">
        <v>367</v>
      </c>
      <c r="B15" s="141">
        <f>C14+D14+E14+F14+H14</f>
        <v>786.07209999999986</v>
      </c>
      <c r="C15" s="137"/>
      <c r="D15" s="137"/>
      <c r="E15" s="137"/>
      <c r="F15" s="137"/>
      <c r="G15" s="137"/>
      <c r="H15" s="137"/>
    </row>
    <row r="16" spans="1:19" x14ac:dyDescent="0.35">
      <c r="A16" s="140" t="s">
        <v>368</v>
      </c>
      <c r="B16" s="142">
        <v>0.17</v>
      </c>
      <c r="C16" s="131"/>
      <c r="D16" s="131"/>
      <c r="E16" s="131"/>
      <c r="F16" s="131"/>
      <c r="G16" s="131"/>
      <c r="H16" s="131"/>
    </row>
    <row r="17" spans="1:8" x14ac:dyDescent="0.35">
      <c r="A17" s="143" t="s">
        <v>369</v>
      </c>
      <c r="B17" s="144">
        <f>B15*(1+B16)</f>
        <v>919.70435699999973</v>
      </c>
      <c r="C17" s="131"/>
      <c r="D17" s="131"/>
      <c r="E17" s="131"/>
      <c r="F17" s="131"/>
      <c r="G17" s="131"/>
      <c r="H17" s="131"/>
    </row>
    <row r="18" spans="1:8" x14ac:dyDescent="0.35">
      <c r="A18" s="143" t="s">
        <v>370</v>
      </c>
      <c r="B18" s="144">
        <f>'Study Parameters'!C15*B17</f>
        <v>0</v>
      </c>
      <c r="C18" s="131"/>
      <c r="D18" s="131"/>
      <c r="E18" s="131"/>
      <c r="F18" s="131"/>
      <c r="G18" s="131"/>
      <c r="H18" s="131"/>
    </row>
    <row r="19" spans="1:8" ht="15.5" x14ac:dyDescent="0.35">
      <c r="A19" s="6" t="s">
        <v>371</v>
      </c>
      <c r="B19" s="145"/>
      <c r="C19" s="7"/>
      <c r="D19" s="7"/>
      <c r="E19" s="7"/>
      <c r="F19" s="7"/>
      <c r="G19" s="7"/>
      <c r="H19" s="13"/>
    </row>
    <row r="20" spans="1:8" x14ac:dyDescent="0.35">
      <c r="A20" s="146" t="s">
        <v>26</v>
      </c>
      <c r="B20" s="147">
        <f>'Study Parameters'!C22</f>
        <v>0</v>
      </c>
      <c r="C20" s="131"/>
      <c r="D20" s="131"/>
      <c r="E20" s="131"/>
      <c r="F20" s="131"/>
      <c r="G20" s="131"/>
      <c r="H20" s="131"/>
    </row>
    <row r="21" spans="1:8" x14ac:dyDescent="0.35">
      <c r="A21" s="146" t="s">
        <v>372</v>
      </c>
      <c r="B21" s="136">
        <f>'Budget Parameters'!B26</f>
        <v>1125.6960000000001</v>
      </c>
      <c r="C21" s="131"/>
      <c r="D21" s="131"/>
      <c r="E21" s="131"/>
      <c r="F21" s="131"/>
      <c r="G21" s="131"/>
      <c r="H21" s="131"/>
    </row>
    <row r="22" spans="1:8" x14ac:dyDescent="0.35">
      <c r="A22" s="146" t="s">
        <v>103</v>
      </c>
      <c r="B22" s="136">
        <f>'Budget Parameters'!B27</f>
        <v>281.42400000000004</v>
      </c>
      <c r="C22" s="131"/>
      <c r="D22" s="131"/>
      <c r="E22" s="131"/>
      <c r="F22" s="131"/>
      <c r="G22" s="131"/>
      <c r="H22" s="131"/>
    </row>
    <row r="23" spans="1:8" x14ac:dyDescent="0.35">
      <c r="A23" s="131"/>
      <c r="B23" s="148"/>
      <c r="C23" s="131"/>
      <c r="D23" s="131"/>
      <c r="E23" s="131"/>
      <c r="F23" s="131"/>
      <c r="G23" s="131"/>
      <c r="H23" s="131"/>
    </row>
    <row r="24" spans="1:8" x14ac:dyDescent="0.35">
      <c r="A24" s="143" t="s">
        <v>373</v>
      </c>
      <c r="B24" s="144">
        <f>SUM(B21:B22)*B16+SUM(B21:B22)</f>
        <v>1646.3304000000003</v>
      </c>
      <c r="C24" s="131"/>
      <c r="D24" s="131"/>
      <c r="E24" s="131"/>
      <c r="F24" s="131"/>
      <c r="G24" s="131"/>
      <c r="H24" s="131"/>
    </row>
    <row r="25" spans="1:8" x14ac:dyDescent="0.35">
      <c r="A25" s="143" t="s">
        <v>374</v>
      </c>
      <c r="B25" s="144">
        <f>B24*B20</f>
        <v>0</v>
      </c>
      <c r="C25" s="131"/>
      <c r="D25" s="131"/>
      <c r="E25" s="131"/>
      <c r="F25" s="131"/>
      <c r="G25" s="131"/>
      <c r="H25" s="131"/>
    </row>
    <row r="26" spans="1:8" x14ac:dyDescent="0.35">
      <c r="B26" s="149"/>
    </row>
    <row r="27" spans="1:8" x14ac:dyDescent="0.35">
      <c r="A27" s="143" t="s">
        <v>375</v>
      </c>
      <c r="B27" s="150">
        <f>B25+B18</f>
        <v>0</v>
      </c>
    </row>
  </sheetData>
  <mergeCells count="2">
    <mergeCell ref="J1:N3"/>
    <mergeCell ref="D4:F4"/>
  </mergeCells>
  <dataValidations count="1">
    <dataValidation type="textLength" operator="lessThan" allowBlank="1" showInputMessage="1" showErrorMessage="1" errorTitle="Exceeded Number of Characters" error="You have exceeded the maximum amount of permitted characters. Please ensure that the field you are trying to populate contains no more than 55 characters." sqref="A22" xr:uid="{00000000-0002-0000-0500-000000000000}">
      <formula1>55</formula1>
      <formula2>0</formula2>
    </dataValidation>
  </dataValidations>
  <pageMargins left="0.70833333333333304" right="0.70833333333333304" top="0.74791666666666701" bottom="0.74861111111111101" header="0.51180555555555496" footer="0.31527777777777799"/>
  <pageSetup paperSize="9" firstPageNumber="0" orientation="landscape" horizontalDpi="300" verticalDpi="300"/>
  <headerFooter>
    <oddFooter>&amp;L&amp;8&amp;F&amp;C&amp;8Page &amp;P/&amp;N&amp;R&amp;8&amp;A
BeNeFIT Budget tool 4.1</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MJ27"/>
  <sheetViews>
    <sheetView zoomScaleNormal="100" workbookViewId="0">
      <selection activeCell="A13" sqref="A13"/>
    </sheetView>
  </sheetViews>
  <sheetFormatPr defaultColWidth="9.1796875" defaultRowHeight="14.5" x14ac:dyDescent="0.35"/>
  <cols>
    <col min="1" max="1" width="29.453125" style="124" customWidth="1"/>
    <col min="2" max="2" width="11.453125" style="124" customWidth="1"/>
    <col min="3" max="3" width="8.54296875" style="124" customWidth="1"/>
    <col min="4" max="4" width="8.453125" style="124" customWidth="1"/>
    <col min="5" max="6" width="9.1796875" style="124"/>
    <col min="7" max="7" width="13.453125" style="124" customWidth="1"/>
    <col min="8" max="8" width="16.81640625" style="124" customWidth="1"/>
    <col min="9" max="15" width="9.1796875" style="124"/>
    <col min="16" max="16" width="5.453125" style="124" customWidth="1"/>
    <col min="17" max="19" width="9.1796875" style="124" hidden="1"/>
    <col min="20" max="1024" width="9.1796875" style="124"/>
  </cols>
  <sheetData>
    <row r="1" spans="1:19" s="55" customFormat="1" ht="20.25" customHeight="1" x14ac:dyDescent="0.35">
      <c r="A1" s="6" t="s">
        <v>6</v>
      </c>
      <c r="B1" s="7"/>
      <c r="C1" s="7" t="str">
        <f>'Study Parameters'!B1</f>
        <v>Number</v>
      </c>
      <c r="D1" s="7"/>
      <c r="E1" s="7"/>
      <c r="F1" s="7"/>
      <c r="G1" s="7"/>
      <c r="H1" s="125" t="s">
        <v>15</v>
      </c>
      <c r="J1" s="188" t="s">
        <v>349</v>
      </c>
      <c r="K1" s="188"/>
      <c r="L1" s="188"/>
      <c r="M1" s="188"/>
      <c r="N1" s="188"/>
      <c r="O1" s="126"/>
      <c r="P1" s="126"/>
      <c r="Q1" s="126"/>
      <c r="R1" s="126"/>
      <c r="S1" s="126"/>
    </row>
    <row r="2" spans="1:19" ht="15.75" customHeight="1" x14ac:dyDescent="0.35">
      <c r="A2" s="127"/>
      <c r="B2"/>
      <c r="C2"/>
      <c r="D2"/>
      <c r="E2"/>
      <c r="F2"/>
      <c r="G2"/>
      <c r="H2" s="11"/>
      <c r="J2" s="188"/>
      <c r="K2" s="188"/>
      <c r="L2" s="188"/>
      <c r="M2" s="188"/>
      <c r="N2" s="188"/>
      <c r="O2" s="126"/>
      <c r="P2" s="126"/>
      <c r="Q2" s="126"/>
      <c r="R2" s="126"/>
      <c r="S2" s="126"/>
    </row>
    <row r="3" spans="1:19" s="55" customFormat="1" ht="24" customHeight="1" x14ac:dyDescent="0.35">
      <c r="A3" s="6" t="s">
        <v>350</v>
      </c>
      <c r="B3" s="7"/>
      <c r="C3" s="7"/>
      <c r="D3" s="7"/>
      <c r="E3" s="7"/>
      <c r="F3" s="7"/>
      <c r="G3" s="7"/>
      <c r="H3" s="13"/>
      <c r="J3" s="188"/>
      <c r="K3" s="188"/>
      <c r="L3" s="188"/>
      <c r="M3" s="188"/>
      <c r="N3" s="188"/>
      <c r="O3" s="126"/>
      <c r="P3" s="126"/>
      <c r="Q3" s="126"/>
      <c r="R3" s="126"/>
      <c r="S3" s="126"/>
    </row>
    <row r="4" spans="1:19" ht="42" x14ac:dyDescent="0.35">
      <c r="A4" s="128" t="s">
        <v>351</v>
      </c>
      <c r="B4" s="129" t="s">
        <v>352</v>
      </c>
      <c r="C4" s="129" t="s">
        <v>353</v>
      </c>
      <c r="D4" s="189" t="s">
        <v>354</v>
      </c>
      <c r="E4" s="189"/>
      <c r="F4" s="189"/>
      <c r="G4" s="129" t="s">
        <v>355</v>
      </c>
      <c r="H4" s="128" t="s">
        <v>356</v>
      </c>
      <c r="J4" s="126"/>
      <c r="K4" s="126"/>
      <c r="L4" s="126"/>
      <c r="M4" s="126"/>
      <c r="N4" s="126"/>
      <c r="O4" s="126"/>
      <c r="P4" s="126"/>
      <c r="Q4" s="126"/>
      <c r="R4" s="126"/>
      <c r="S4" s="126"/>
    </row>
    <row r="5" spans="1:19" x14ac:dyDescent="0.35">
      <c r="A5" s="130"/>
      <c r="B5" s="130"/>
      <c r="C5" s="131"/>
      <c r="D5" s="132" t="s">
        <v>357</v>
      </c>
      <c r="E5" s="132" t="s">
        <v>358</v>
      </c>
      <c r="F5" s="132" t="s">
        <v>359</v>
      </c>
      <c r="G5" s="131"/>
      <c r="H5" s="131"/>
    </row>
    <row r="6" spans="1:19" x14ac:dyDescent="0.35">
      <c r="A6" s="133" t="s">
        <v>360</v>
      </c>
      <c r="B6" s="130"/>
      <c r="C6" s="131"/>
      <c r="D6" s="134"/>
      <c r="E6" s="134"/>
      <c r="F6" s="134"/>
      <c r="G6" s="131"/>
      <c r="H6" s="131"/>
    </row>
    <row r="7" spans="1:19" x14ac:dyDescent="0.35">
      <c r="A7" s="135" t="s">
        <v>361</v>
      </c>
      <c r="B7" s="136">
        <f>30/60*'Budget Parameters'!B17</f>
        <v>56.284800000000004</v>
      </c>
      <c r="C7" s="136">
        <f>30/60*'Budget Parameters'!B17</f>
        <v>56.284800000000004</v>
      </c>
      <c r="D7" s="137"/>
      <c r="E7" s="137"/>
      <c r="F7" s="137"/>
      <c r="G7" s="137"/>
      <c r="H7" s="137"/>
    </row>
    <row r="8" spans="1:19" x14ac:dyDescent="0.35">
      <c r="A8" s="135" t="s">
        <v>362</v>
      </c>
      <c r="B8" s="136">
        <f>'Budget Parameters'!D48</f>
        <v>17.3184</v>
      </c>
      <c r="C8" s="136"/>
      <c r="D8" s="136"/>
      <c r="E8" s="136"/>
      <c r="F8" s="136"/>
      <c r="G8" s="136"/>
      <c r="H8" s="136"/>
    </row>
    <row r="9" spans="1:19" x14ac:dyDescent="0.35">
      <c r="A9" s="135" t="s">
        <v>363</v>
      </c>
      <c r="B9" s="136">
        <f>'Budget Parameters'!B17</f>
        <v>112.56960000000001</v>
      </c>
      <c r="C9" s="136">
        <f>30/60*'Budget Parameters'!B17</f>
        <v>56.284800000000004</v>
      </c>
      <c r="D9" s="136">
        <f>10/60*'Budget Parameters'!$B$17</f>
        <v>18.761600000000001</v>
      </c>
      <c r="E9" s="136">
        <f>10/60*'Budget Parameters'!$B$17</f>
        <v>18.761600000000001</v>
      </c>
      <c r="F9" s="136">
        <f>10/60*'Budget Parameters'!$B$17</f>
        <v>18.761600000000001</v>
      </c>
      <c r="G9" s="136">
        <f>10/60*'Budget Parameters'!$B$17</f>
        <v>18.761600000000001</v>
      </c>
      <c r="H9" s="136">
        <f>10/60*'Budget Parameters'!$B$17</f>
        <v>18.761600000000001</v>
      </c>
    </row>
    <row r="10" spans="1:19" ht="20" x14ac:dyDescent="0.35">
      <c r="A10" s="135" t="s">
        <v>364</v>
      </c>
      <c r="B10" s="136">
        <f>'Budget Parameters'!B15</f>
        <v>50.19</v>
      </c>
      <c r="C10" s="136">
        <f>2.5*B10</f>
        <v>125.47499999999999</v>
      </c>
      <c r="D10" s="136">
        <f>2*'Budget Parameters'!$B$15</f>
        <v>100.38</v>
      </c>
      <c r="E10" s="136">
        <f>2*'Budget Parameters'!$B$15</f>
        <v>100.38</v>
      </c>
      <c r="F10" s="136">
        <f>2*'Budget Parameters'!$B$15</f>
        <v>100.38</v>
      </c>
      <c r="G10" s="136">
        <f>2*'Budget Parameters'!$B$15</f>
        <v>100.38</v>
      </c>
      <c r="H10" s="136">
        <f>2*'Budget Parameters'!$B$15</f>
        <v>100.38</v>
      </c>
    </row>
    <row r="11" spans="1:19" x14ac:dyDescent="0.35">
      <c r="A11" s="135"/>
      <c r="B11" s="136"/>
      <c r="C11" s="136"/>
      <c r="D11" s="137"/>
      <c r="E11" s="137"/>
      <c r="F11" s="137"/>
      <c r="G11" s="137"/>
      <c r="H11" s="137"/>
    </row>
    <row r="12" spans="1:19" x14ac:dyDescent="0.35">
      <c r="A12" s="138" t="s">
        <v>365</v>
      </c>
      <c r="B12" s="139"/>
      <c r="C12" s="139">
        <f t="shared" ref="C12:H12" si="0">SUM(C7:C11)</f>
        <v>238.0446</v>
      </c>
      <c r="D12" s="139">
        <f t="shared" si="0"/>
        <v>119.1416</v>
      </c>
      <c r="E12" s="139">
        <f t="shared" si="0"/>
        <v>119.1416</v>
      </c>
      <c r="F12" s="139">
        <f t="shared" si="0"/>
        <v>119.1416</v>
      </c>
      <c r="G12" s="139">
        <f t="shared" si="0"/>
        <v>119.1416</v>
      </c>
      <c r="H12" s="139">
        <f t="shared" si="0"/>
        <v>119.1416</v>
      </c>
    </row>
    <row r="13" spans="1:19" x14ac:dyDescent="0.35">
      <c r="A13" s="135" t="s">
        <v>366</v>
      </c>
      <c r="B13" s="136"/>
      <c r="C13" s="139">
        <f>'Budget Parameters'!$C$22*'Site Costs NL'!C12</f>
        <v>23.804460000000002</v>
      </c>
      <c r="D13" s="139">
        <f>'Budget Parameters'!$C$22*'Site Costs NL'!D12</f>
        <v>11.914160000000001</v>
      </c>
      <c r="E13" s="139">
        <f>'Budget Parameters'!$C$22*'Site Costs NL'!E12</f>
        <v>11.914160000000001</v>
      </c>
      <c r="F13" s="139">
        <f>'Budget Parameters'!$C$22*'Site Costs NL'!F12</f>
        <v>11.914160000000001</v>
      </c>
      <c r="G13" s="139">
        <f>'Budget Parameters'!$C$22*'Site Costs NL'!G12</f>
        <v>11.914160000000001</v>
      </c>
      <c r="H13" s="139">
        <f>'Budget Parameters'!$C$22*'Site Costs NL'!H12</f>
        <v>11.914160000000001</v>
      </c>
    </row>
    <row r="14" spans="1:19" x14ac:dyDescent="0.35">
      <c r="A14" s="140" t="s">
        <v>366</v>
      </c>
      <c r="B14" s="139"/>
      <c r="C14" s="139">
        <f t="shared" ref="C14:H14" si="1">SUM(C12:C13)</f>
        <v>261.84906000000001</v>
      </c>
      <c r="D14" s="139">
        <f t="shared" si="1"/>
        <v>131.05575999999999</v>
      </c>
      <c r="E14" s="139">
        <f t="shared" si="1"/>
        <v>131.05575999999999</v>
      </c>
      <c r="F14" s="139">
        <f t="shared" si="1"/>
        <v>131.05575999999999</v>
      </c>
      <c r="G14" s="139">
        <f t="shared" si="1"/>
        <v>131.05575999999999</v>
      </c>
      <c r="H14" s="139">
        <f t="shared" si="1"/>
        <v>131.05575999999999</v>
      </c>
    </row>
    <row r="15" spans="1:19" x14ac:dyDescent="0.35">
      <c r="A15" s="140" t="s">
        <v>367</v>
      </c>
      <c r="B15" s="141">
        <f>C14+D14+E14+F14+H14</f>
        <v>786.07209999999986</v>
      </c>
      <c r="C15" s="137"/>
      <c r="D15" s="137"/>
      <c r="E15" s="137"/>
      <c r="F15" s="137"/>
      <c r="G15" s="137"/>
      <c r="H15" s="137"/>
    </row>
    <row r="16" spans="1:19" x14ac:dyDescent="0.35">
      <c r="A16" s="140" t="s">
        <v>368</v>
      </c>
      <c r="B16" s="142">
        <v>0.17</v>
      </c>
      <c r="C16" s="131"/>
      <c r="D16" s="131"/>
      <c r="E16" s="131"/>
      <c r="F16" s="131"/>
      <c r="G16" s="131"/>
      <c r="H16" s="131"/>
    </row>
    <row r="17" spans="1:8" x14ac:dyDescent="0.35">
      <c r="A17" s="143" t="s">
        <v>369</v>
      </c>
      <c r="B17" s="144">
        <f>B15*(1+B16)</f>
        <v>919.70435699999973</v>
      </c>
      <c r="C17" s="131"/>
      <c r="D17" s="131"/>
      <c r="E17" s="131"/>
      <c r="F17" s="131"/>
      <c r="G17" s="131"/>
      <c r="H17" s="131"/>
    </row>
    <row r="18" spans="1:8" x14ac:dyDescent="0.35">
      <c r="A18" s="143" t="s">
        <v>370</v>
      </c>
      <c r="B18" s="144">
        <f>'Study Parameters'!C16*B17</f>
        <v>0</v>
      </c>
      <c r="C18" s="131"/>
      <c r="D18" s="131"/>
      <c r="E18" s="131"/>
      <c r="F18" s="131"/>
      <c r="G18" s="131"/>
      <c r="H18" s="131"/>
    </row>
    <row r="19" spans="1:8" ht="15.5" x14ac:dyDescent="0.35">
      <c r="A19" s="6" t="s">
        <v>371</v>
      </c>
      <c r="B19" s="145"/>
      <c r="C19" s="7"/>
      <c r="D19" s="7"/>
      <c r="E19" s="7"/>
      <c r="F19" s="7"/>
      <c r="G19" s="7"/>
      <c r="H19" s="13"/>
    </row>
    <row r="20" spans="1:8" x14ac:dyDescent="0.35">
      <c r="A20" s="146" t="s">
        <v>27</v>
      </c>
      <c r="B20" s="147">
        <f>'Study Parameters'!C23</f>
        <v>0</v>
      </c>
      <c r="C20" s="131"/>
      <c r="D20" s="131"/>
      <c r="E20" s="131"/>
      <c r="F20" s="131"/>
      <c r="G20" s="131"/>
      <c r="H20" s="131"/>
    </row>
    <row r="21" spans="1:8" x14ac:dyDescent="0.35">
      <c r="A21" s="146" t="s">
        <v>372</v>
      </c>
      <c r="B21" s="136">
        <f>'Budget Parameters'!B26</f>
        <v>1125.6960000000001</v>
      </c>
      <c r="C21" s="131"/>
      <c r="D21" s="131"/>
      <c r="E21" s="131"/>
      <c r="F21" s="131"/>
      <c r="G21" s="131"/>
      <c r="H21" s="131"/>
    </row>
    <row r="22" spans="1:8" x14ac:dyDescent="0.35">
      <c r="A22" s="146" t="s">
        <v>103</v>
      </c>
      <c r="B22" s="136">
        <f>'Budget Parameters'!B27</f>
        <v>281.42400000000004</v>
      </c>
      <c r="C22" s="131"/>
      <c r="D22" s="131"/>
      <c r="E22" s="131"/>
      <c r="F22" s="131"/>
      <c r="G22" s="131"/>
      <c r="H22" s="131"/>
    </row>
    <row r="23" spans="1:8" x14ac:dyDescent="0.35">
      <c r="A23" s="131"/>
      <c r="B23" s="148"/>
      <c r="C23" s="131"/>
      <c r="D23" s="131"/>
      <c r="E23" s="131"/>
      <c r="F23" s="131"/>
      <c r="G23" s="131"/>
      <c r="H23" s="131"/>
    </row>
    <row r="24" spans="1:8" x14ac:dyDescent="0.35">
      <c r="A24" s="143" t="s">
        <v>373</v>
      </c>
      <c r="B24" s="144">
        <f>SUM(B21:B22)*B16+SUM(B21:B22)</f>
        <v>1646.3304000000003</v>
      </c>
      <c r="C24" s="131"/>
      <c r="D24" s="131"/>
      <c r="E24" s="131"/>
      <c r="F24" s="131"/>
      <c r="G24" s="131"/>
      <c r="H24" s="131"/>
    </row>
    <row r="25" spans="1:8" x14ac:dyDescent="0.35">
      <c r="A25" s="143" t="s">
        <v>374</v>
      </c>
      <c r="B25" s="144">
        <f>B24*B20</f>
        <v>0</v>
      </c>
      <c r="C25" s="131"/>
      <c r="D25" s="131"/>
      <c r="E25" s="131"/>
      <c r="F25" s="131"/>
      <c r="G25" s="131"/>
      <c r="H25" s="131"/>
    </row>
    <row r="26" spans="1:8" x14ac:dyDescent="0.35">
      <c r="B26" s="149"/>
    </row>
    <row r="27" spans="1:8" x14ac:dyDescent="0.35">
      <c r="A27" s="143" t="s">
        <v>375</v>
      </c>
      <c r="B27" s="150">
        <f>B25+B18</f>
        <v>0</v>
      </c>
    </row>
  </sheetData>
  <mergeCells count="2">
    <mergeCell ref="J1:N3"/>
    <mergeCell ref="D4:F4"/>
  </mergeCells>
  <dataValidations count="1">
    <dataValidation type="textLength" operator="lessThan" allowBlank="1" showInputMessage="1" showErrorMessage="1" errorTitle="Exceeded Number of Characters" error="You have exceeded the maximum amount of permitted characters. Please ensure that the field you are trying to populate contains no more than 55 characters." sqref="A22" xr:uid="{00000000-0002-0000-0600-000000000000}">
      <formula1>55</formula1>
      <formula2>0</formula2>
    </dataValidation>
  </dataValidations>
  <pageMargins left="0.70833333333333304" right="0.70833333333333304" top="0.74791666666666701" bottom="0.74861111111111101" header="0.51180555555555496" footer="0.31527777777777799"/>
  <pageSetup paperSize="9" firstPageNumber="0" orientation="landscape" horizontalDpi="300" verticalDpi="300"/>
  <headerFooter>
    <oddFooter>&amp;L&amp;8&amp;F&amp;C&amp;8Page &amp;P/&amp;N&amp;R&amp;8&amp;A
BeNeFIT Budget tool 4.1</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9"/>
  <sheetViews>
    <sheetView zoomScaleNormal="100" workbookViewId="0">
      <selection activeCell="D26" sqref="D26"/>
    </sheetView>
  </sheetViews>
  <sheetFormatPr defaultColWidth="8.7265625" defaultRowHeight="12.5" x14ac:dyDescent="0.25"/>
  <cols>
    <col min="1" max="1" width="5.26953125" customWidth="1"/>
    <col min="2" max="2" width="76.453125" customWidth="1"/>
    <col min="3" max="3" width="11.54296875" customWidth="1"/>
    <col min="4" max="4" width="12.1796875" customWidth="1"/>
  </cols>
  <sheetData>
    <row r="1" spans="1:5" ht="13" x14ac:dyDescent="0.3">
      <c r="A1" s="151" t="s">
        <v>418</v>
      </c>
    </row>
    <row r="3" spans="1:5" ht="15.5" x14ac:dyDescent="0.35">
      <c r="A3" s="152">
        <v>1</v>
      </c>
      <c r="B3" s="152" t="s">
        <v>376</v>
      </c>
    </row>
    <row r="4" spans="1:5" ht="13" x14ac:dyDescent="0.3">
      <c r="B4" s="18" t="s">
        <v>377</v>
      </c>
    </row>
    <row r="5" spans="1:5" x14ac:dyDescent="0.25">
      <c r="B5" s="18" t="s">
        <v>378</v>
      </c>
      <c r="C5" s="153">
        <f>'Sponsor Cost'!M92+'Site Costs NL'!B27*1.21+20000</f>
        <v>0</v>
      </c>
      <c r="D5" s="18" t="s">
        <v>379</v>
      </c>
    </row>
    <row r="6" spans="1:5" x14ac:dyDescent="0.25">
      <c r="B6" s="18" t="s">
        <v>380</v>
      </c>
      <c r="C6" s="154">
        <f>'Sponsor Cost'!N92+'Site Costs NL'!B27*1.21</f>
        <v>0</v>
      </c>
      <c r="D6" s="18" t="s">
        <v>381</v>
      </c>
    </row>
    <row r="8" spans="1:5" ht="13" x14ac:dyDescent="0.3">
      <c r="B8" s="18" t="s">
        <v>419</v>
      </c>
    </row>
    <row r="9" spans="1:5" x14ac:dyDescent="0.25">
      <c r="B9" s="18" t="s">
        <v>378</v>
      </c>
      <c r="C9" s="153">
        <f>'Sponsor Cost'!N92+'Site Costs BE'!B27*1.21</f>
        <v>0</v>
      </c>
      <c r="D9" s="18" t="s">
        <v>382</v>
      </c>
    </row>
    <row r="10" spans="1:5" x14ac:dyDescent="0.25">
      <c r="B10" s="18" t="s">
        <v>380</v>
      </c>
      <c r="C10" s="153">
        <f>'Sponsor Cost'!M92+'Site Costs BE'!B27*1.21+20000</f>
        <v>0</v>
      </c>
      <c r="D10" s="18" t="s">
        <v>383</v>
      </c>
    </row>
    <row r="12" spans="1:5" ht="15.5" x14ac:dyDescent="0.35">
      <c r="A12" s="152">
        <v>2</v>
      </c>
      <c r="B12" s="152" t="s">
        <v>384</v>
      </c>
      <c r="C12" s="18" t="s">
        <v>385</v>
      </c>
      <c r="D12" s="18" t="s">
        <v>386</v>
      </c>
      <c r="E12" s="18"/>
    </row>
    <row r="13" spans="1:5" x14ac:dyDescent="0.25">
      <c r="B13" t="s">
        <v>387</v>
      </c>
      <c r="C13" s="153">
        <f>20000+'Sponsor Cost'!M10+'Sponsor Cost'!M21-'Sponsor Cost'!M20-'Sponsor Cost'!M19-'Sponsor Cost'!M18+'Sponsor Cost'!M30-'Sponsor Cost'!M29-'Sponsor Cost'!M28+'Sponsor Cost'!M42-'Sponsor Cost'!M41-'Sponsor Cost'!M37+'Sponsor Cost'!M46+'Sponsor Cost'!M54-'Sponsor Cost'!M49-'Sponsor Cost'!M50+'Sponsor Cost'!M60+'Sponsor Cost'!M70</f>
        <v>0</v>
      </c>
      <c r="D13" s="153">
        <f>'Sponsor Cost'!N10+'Sponsor Cost'!N21-'Sponsor Cost'!N20-'Sponsor Cost'!N19-'Sponsor Cost'!N18+'Sponsor Cost'!N30-'Sponsor Cost'!N29-'Sponsor Cost'!N28+'Sponsor Cost'!N42-'Sponsor Cost'!N41-'Sponsor Cost'!N37+'Sponsor Cost'!N46+'Sponsor Cost'!N54-'Sponsor Cost'!N49-'Sponsor Cost'!N50+'Sponsor Cost'!N60+'Sponsor Cost'!N70</f>
        <v>0</v>
      </c>
      <c r="E13" s="18" t="s">
        <v>388</v>
      </c>
    </row>
    <row r="14" spans="1:5" x14ac:dyDescent="0.25">
      <c r="B14" t="s">
        <v>389</v>
      </c>
      <c r="C14" s="153">
        <f>'Sponsor Cost'!M83</f>
        <v>0</v>
      </c>
      <c r="D14" s="153">
        <f>'Sponsor Cost'!N83</f>
        <v>0</v>
      </c>
      <c r="E14" s="18" t="s">
        <v>390</v>
      </c>
    </row>
    <row r="15" spans="1:5" x14ac:dyDescent="0.25">
      <c r="B15" t="s">
        <v>391</v>
      </c>
      <c r="C15" s="153">
        <f>'Sponsor Cost'!M85</f>
        <v>0</v>
      </c>
      <c r="D15" s="153">
        <f>'Sponsor Cost'!N85</f>
        <v>0</v>
      </c>
      <c r="E15" s="18" t="s">
        <v>392</v>
      </c>
    </row>
    <row r="16" spans="1:5" x14ac:dyDescent="0.25">
      <c r="B16" t="s">
        <v>393</v>
      </c>
      <c r="C16" s="155">
        <v>0</v>
      </c>
      <c r="D16" s="155">
        <v>0</v>
      </c>
      <c r="E16" s="18" t="s">
        <v>394</v>
      </c>
    </row>
    <row r="17" spans="2:5" x14ac:dyDescent="0.25">
      <c r="B17" t="s">
        <v>395</v>
      </c>
      <c r="C17" s="153">
        <f>C5-C13+C14+C15+C16</f>
        <v>0</v>
      </c>
      <c r="D17" s="153">
        <f>C6-D16-D15-D14-D13</f>
        <v>0</v>
      </c>
      <c r="E17" s="18" t="s">
        <v>396</v>
      </c>
    </row>
    <row r="18" spans="2:5" x14ac:dyDescent="0.25">
      <c r="B18" s="18" t="s">
        <v>397</v>
      </c>
      <c r="C18" s="153">
        <f>C9</f>
        <v>0</v>
      </c>
      <c r="D18" s="153">
        <f>C10</f>
        <v>0</v>
      </c>
      <c r="E18" s="18" t="s">
        <v>398</v>
      </c>
    </row>
    <row r="19" spans="2:5" x14ac:dyDescent="0.25">
      <c r="B19" s="18" t="s">
        <v>399</v>
      </c>
      <c r="C19" s="155">
        <v>0</v>
      </c>
      <c r="D19" s="155">
        <v>0</v>
      </c>
      <c r="E19" s="18" t="s">
        <v>400</v>
      </c>
    </row>
  </sheetData>
  <pageMargins left="0.7" right="0.7" top="0.75" bottom="0.75" header="0.51180555555555496" footer="0.51180555555555496"/>
  <pageSetup paperSize="9" firstPageNumber="0"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9"/>
  <sheetViews>
    <sheetView zoomScaleNormal="100" workbookViewId="0">
      <selection sqref="A1:D1"/>
    </sheetView>
  </sheetViews>
  <sheetFormatPr defaultColWidth="8.7265625" defaultRowHeight="12.5" x14ac:dyDescent="0.25"/>
  <cols>
    <col min="1" max="1" width="60.54296875" customWidth="1"/>
    <col min="2" max="3" width="11.54296875" customWidth="1"/>
    <col min="4" max="4" width="20.453125" customWidth="1"/>
    <col min="5" max="5" width="40.81640625" customWidth="1"/>
  </cols>
  <sheetData>
    <row r="1" spans="1:5" ht="13" x14ac:dyDescent="0.3">
      <c r="A1" s="190" t="s">
        <v>401</v>
      </c>
      <c r="B1" s="190"/>
      <c r="C1" s="190"/>
      <c r="D1" s="190"/>
    </row>
    <row r="2" spans="1:5" ht="13" x14ac:dyDescent="0.3">
      <c r="A2" s="156"/>
      <c r="B2" s="157" t="s">
        <v>402</v>
      </c>
      <c r="C2" s="157" t="s">
        <v>403</v>
      </c>
      <c r="D2" s="158" t="s">
        <v>404</v>
      </c>
    </row>
    <row r="3" spans="1:5" ht="13" x14ac:dyDescent="0.3">
      <c r="A3" s="159" t="s">
        <v>405</v>
      </c>
      <c r="B3" s="160">
        <f>'Sponsor Cost'!M94</f>
        <v>-20000</v>
      </c>
      <c r="C3" s="160">
        <f>'Sponsor Cost'!N94</f>
        <v>0</v>
      </c>
      <c r="D3" s="161">
        <f>SUM(B3:C3)</f>
        <v>-20000</v>
      </c>
    </row>
    <row r="4" spans="1:5" ht="13" x14ac:dyDescent="0.3">
      <c r="A4" s="159" t="s">
        <v>406</v>
      </c>
      <c r="B4" s="160">
        <f>'Sponsor Cost'!M95</f>
        <v>0</v>
      </c>
      <c r="C4" s="160">
        <f>'Sponsor Cost'!N95</f>
        <v>0</v>
      </c>
      <c r="D4" s="161"/>
      <c r="E4" s="18"/>
    </row>
    <row r="5" spans="1:5" ht="13" x14ac:dyDescent="0.3">
      <c r="A5" s="162" t="s">
        <v>407</v>
      </c>
      <c r="B5" s="163">
        <f>'Site Costs BE'!B27</f>
        <v>0</v>
      </c>
      <c r="C5" s="164">
        <v>0</v>
      </c>
      <c r="D5" s="165">
        <f>SUM(B5:C5)</f>
        <v>0</v>
      </c>
      <c r="E5" s="18" t="s">
        <v>408</v>
      </c>
    </row>
    <row r="6" spans="1:5" ht="13" x14ac:dyDescent="0.3">
      <c r="A6" s="166" t="s">
        <v>409</v>
      </c>
      <c r="B6" s="167">
        <v>0</v>
      </c>
      <c r="C6" s="168">
        <f>'Site Costs NL'!B27</f>
        <v>0</v>
      </c>
      <c r="D6" s="165">
        <f>SUM(B6:C6)</f>
        <v>0</v>
      </c>
    </row>
    <row r="7" spans="1:5" ht="13" x14ac:dyDescent="0.3">
      <c r="A7" s="169" t="s">
        <v>410</v>
      </c>
      <c r="B7" s="170"/>
      <c r="C7" s="170"/>
      <c r="D7" s="171">
        <f>SUM(B7:C7)</f>
        <v>0</v>
      </c>
      <c r="E7" t="s">
        <v>411</v>
      </c>
    </row>
    <row r="8" spans="1:5" ht="13" x14ac:dyDescent="0.3">
      <c r="A8" s="172" t="s">
        <v>412</v>
      </c>
      <c r="B8" s="173">
        <f>SUM(B3:B7)</f>
        <v>-20000</v>
      </c>
      <c r="C8" s="173">
        <f>SUM(C3:C7)</f>
        <v>0</v>
      </c>
      <c r="D8" s="174">
        <f>SUM(D3:D7)</f>
        <v>-20000</v>
      </c>
    </row>
    <row r="9" spans="1:5" x14ac:dyDescent="0.25">
      <c r="B9" s="40"/>
      <c r="C9" s="40"/>
      <c r="D9" s="40"/>
    </row>
  </sheetData>
  <mergeCells count="1">
    <mergeCell ref="A1:D1"/>
  </mergeCells>
  <pageMargins left="0.70833333333333304" right="0.70833333333333304" top="0.74791666666666701" bottom="0.74791666666666701" header="0.51180555555555496" footer="0.31527777777777799"/>
  <pageSetup paperSize="9" firstPageNumber="0" orientation="landscape" horizontalDpi="300" verticalDpi="300"/>
  <headerFooter>
    <oddFooter>&amp;L&amp;8&amp;F&amp;R&amp;8&amp;A
BeNeFit Budget tool 4.1</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MJ5"/>
  <sheetViews>
    <sheetView zoomScaleNormal="100" workbookViewId="0">
      <selection activeCell="A3" sqref="A3"/>
    </sheetView>
  </sheetViews>
  <sheetFormatPr defaultColWidth="8.54296875" defaultRowHeight="12.5" x14ac:dyDescent="0.25"/>
  <cols>
    <col min="1" max="1" width="117.453125" style="18" customWidth="1"/>
    <col min="2" max="1024" width="8.54296875" style="18"/>
  </cols>
  <sheetData>
    <row r="1" spans="1:1" s="55" customFormat="1" ht="10" x14ac:dyDescent="0.2">
      <c r="A1" s="175" t="s">
        <v>413</v>
      </c>
    </row>
    <row r="2" spans="1:1" s="55" customFormat="1" ht="70" x14ac:dyDescent="0.2">
      <c r="A2" s="175" t="s">
        <v>414</v>
      </c>
    </row>
    <row r="3" spans="1:1" s="55" customFormat="1" ht="20" x14ac:dyDescent="0.2">
      <c r="A3" s="175" t="s">
        <v>415</v>
      </c>
    </row>
    <row r="4" spans="1:1" ht="160.5" x14ac:dyDescent="0.25">
      <c r="A4" s="175" t="s">
        <v>416</v>
      </c>
    </row>
    <row r="5" spans="1:1" ht="40.5" x14ac:dyDescent="0.25">
      <c r="A5" s="175" t="s">
        <v>417</v>
      </c>
    </row>
  </sheetData>
  <pageMargins left="0.70833333333333304" right="0.70833333333333304" top="0.74791666666666701" bottom="0.74791666666666701" header="0.51180555555555496" footer="0.31527777777777799"/>
  <pageSetup paperSize="9" firstPageNumber="0" orientation="portrait" horizontalDpi="300" verticalDpi="300"/>
  <headerFooter>
    <oddFooter>&amp;L&amp;F&amp;R&amp;P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How to complete</vt:lpstr>
      <vt:lpstr>Study Parameters</vt:lpstr>
      <vt:lpstr>Lists</vt:lpstr>
      <vt:lpstr>Budget Parameters</vt:lpstr>
      <vt:lpstr>Sponsor Cost</vt:lpstr>
      <vt:lpstr>Site Costs BE</vt:lpstr>
      <vt:lpstr>Site Costs NL</vt:lpstr>
      <vt:lpstr>Application Form</vt:lpstr>
      <vt:lpstr>overall costs</vt:lpstr>
      <vt:lpstr>info versions</vt:lpstr>
      <vt:lpstr>'Budget Parameters'!Print_Area</vt:lpstr>
      <vt:lpstr>'How to complete'!Print_Area</vt:lpstr>
      <vt:lpstr>'overall costs'!Print_Area</vt:lpstr>
      <vt:lpstr>'Sponsor Cost'!Print_Area</vt:lpstr>
      <vt:lpstr>'Sponsor Cost'!Print_Titles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BeNeFIT 3 Budgeting Template</dc:title>
  <dc:subject/>
  <dc:creator>Nevens Hilde</dc:creator>
  <cp:keywords>version info hidden tab</cp:keywords>
  <dc:description>update for BeNeFIT 2 call</dc:description>
  <cp:lastModifiedBy>Lisa Marynen</cp:lastModifiedBy>
  <cp:revision>2</cp:revision>
  <cp:lastPrinted>2022-09-14T08:52:16Z</cp:lastPrinted>
  <dcterms:created xsi:type="dcterms:W3CDTF">1999-02-17T14:07:56Z</dcterms:created>
  <dcterms:modified xsi:type="dcterms:W3CDTF">2022-10-24T14:42:11Z</dcterms:modified>
  <dc:language>nl-NL</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0x010100B0FC48F32B665A4681032F5C01273A5E</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SharedWithUsers">
    <vt:lpwstr/>
  </property>
</Properties>
</file>