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threadedComments/threadedComment1.xml" ContentType="application/vnd.ms-excel.threadedcomments+xml"/>
  <Override PartName="/xl/comments4.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defaultThemeVersion="124226"/>
  <mc:AlternateContent xmlns:mc="http://schemas.openxmlformats.org/markup-compatibility/2006">
    <mc:Choice Requires="x15">
      <x15ac:absPath xmlns:x15ac="http://schemas.microsoft.com/office/spreadsheetml/2010/11/ac" url="C:\Users\kass_rasma\Desktop\"/>
    </mc:Choice>
  </mc:AlternateContent>
  <xr:revisionPtr revIDLastSave="0" documentId="8_{09E23039-21DD-4C12-8A48-FC9D4660F869}" xr6:coauthVersionLast="47" xr6:coauthVersionMax="47" xr10:uidLastSave="{00000000-0000-0000-0000-000000000000}"/>
  <bookViews>
    <workbookView xWindow="-28920" yWindow="-120" windowWidth="29040" windowHeight="15840" tabRatio="601" xr2:uid="{00000000-000D-0000-FFFF-FFFF00000000}"/>
  </bookViews>
  <sheets>
    <sheet name="How to complete BCC" sheetId="8" r:id="rId1"/>
    <sheet name="Study Parameters BCC" sheetId="3" r:id="rId2"/>
    <sheet name="drop down list" sheetId="12" state="hidden" r:id="rId3"/>
    <sheet name="Budget Parameters BCC" sheetId="9" r:id="rId4"/>
    <sheet name="Overall Cost BCC" sheetId="2" r:id="rId5"/>
    <sheet name="Site Costs BCC" sheetId="7" r:id="rId6"/>
    <sheet name="info versions" sheetId="11" state="hidden" r:id="rId7"/>
  </sheets>
  <definedNames>
    <definedName name="_xlnm._FilterDatabase" localSheetId="4" hidden="1">'Overall Cost BCC'!$A$1:$K$77</definedName>
    <definedName name="_xlnm.Print_Area" localSheetId="3">'Budget Parameters BCC'!$A$1:$E$31</definedName>
    <definedName name="_xlnm.Print_Titles" localSheetId="4">'Overall Cost BCC'!$1:$1</definedName>
    <definedName name="Z_44F680A0_1DE8_11D3_AA98_444553540001_.wvu.PrintArea" localSheetId="4" hidden="1">'Overall Cost BCC'!$A$1:$D$64</definedName>
    <definedName name="Z_7C37BAE0_401E_11D3_8EB7_444553540000_.wvu.PrintArea" localSheetId="4" hidden="1">'Overall Cost BCC'!$A$1:$D$64</definedName>
  </definedNames>
  <calcPr calcId="191029"/>
  <customWorkbookViews>
    <customWorkbookView name="Benedikt Van Nieuwenhove - Personal View" guid="{44F680A0-1DE8-11D3-AA98-444553540001}" mergeInterval="0" personalView="1" maximized="1" windowWidth="1018" windowHeight="607" tabRatio="601" activeSheetId="1"/>
    <customWorkbookView name="Van Nieuwenhove Benedikt - Personal View" guid="{7C37BAE0-401E-11D3-8EB7-444553540000}" mergeInterval="0" personalView="1" maximized="1" windowWidth="796" windowHeight="436" tabRatio="601"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50" i="2" l="1"/>
  <c r="I55" i="2" s="1"/>
  <c r="H6" i="2"/>
  <c r="H9" i="2" s="1"/>
  <c r="F7" i="2"/>
  <c r="F6" i="2"/>
  <c r="E1" i="9"/>
  <c r="C1" i="9"/>
  <c r="I5" i="2"/>
  <c r="H79" i="2"/>
  <c r="B21" i="7"/>
  <c r="F24" i="2"/>
  <c r="B22" i="7"/>
  <c r="E9" i="7"/>
  <c r="F9" i="7"/>
  <c r="G9" i="7"/>
  <c r="H9" i="7"/>
  <c r="D9" i="7"/>
  <c r="B10" i="7"/>
  <c r="G10" i="7" s="1"/>
  <c r="G12" i="7" s="1"/>
  <c r="B8" i="7"/>
  <c r="B9" i="7"/>
  <c r="B7" i="7"/>
  <c r="C7" i="7"/>
  <c r="I79" i="2"/>
  <c r="H81" i="2"/>
  <c r="I81" i="2"/>
  <c r="J81" i="2"/>
  <c r="G75" i="2"/>
  <c r="G68" i="2"/>
  <c r="G63" i="2"/>
  <c r="H62" i="2"/>
  <c r="H61" i="2"/>
  <c r="H60" i="2"/>
  <c r="H59" i="2"/>
  <c r="G50" i="2"/>
  <c r="G51" i="2"/>
  <c r="H51" i="2"/>
  <c r="I51" i="2"/>
  <c r="G52" i="2"/>
  <c r="H52" i="2"/>
  <c r="I52" i="2"/>
  <c r="G53" i="2"/>
  <c r="G54" i="2"/>
  <c r="G45" i="2"/>
  <c r="H45" i="2"/>
  <c r="G38" i="2"/>
  <c r="F34" i="2"/>
  <c r="G34" i="2"/>
  <c r="G28" i="2"/>
  <c r="H28" i="2"/>
  <c r="I28" i="2"/>
  <c r="G24" i="2"/>
  <c r="G14" i="2"/>
  <c r="G12" i="2"/>
  <c r="H12" i="2"/>
  <c r="G5" i="2"/>
  <c r="H5" i="2"/>
  <c r="C111" i="9"/>
  <c r="C110" i="9"/>
  <c r="C109" i="9"/>
  <c r="C108" i="9"/>
  <c r="C107" i="9"/>
  <c r="C106" i="9"/>
  <c r="C105" i="9"/>
  <c r="C104" i="9"/>
  <c r="C103" i="9"/>
  <c r="C102" i="9"/>
  <c r="C101" i="9"/>
  <c r="C100" i="9"/>
  <c r="C99" i="9"/>
  <c r="C98" i="9"/>
  <c r="C97" i="9"/>
  <c r="C96" i="9"/>
  <c r="C95" i="9"/>
  <c r="C94" i="9"/>
  <c r="C93" i="9"/>
  <c r="C92" i="9"/>
  <c r="C91" i="9"/>
  <c r="C90" i="9"/>
  <c r="C89" i="9"/>
  <c r="C88" i="9"/>
  <c r="C87" i="9"/>
  <c r="C86" i="9"/>
  <c r="C85" i="9"/>
  <c r="C84" i="9"/>
  <c r="C83" i="9"/>
  <c r="C82" i="9"/>
  <c r="C81" i="9"/>
  <c r="C80" i="9"/>
  <c r="C79" i="9"/>
  <c r="C78" i="9"/>
  <c r="C77" i="9"/>
  <c r="C76" i="9"/>
  <c r="C75" i="9"/>
  <c r="C74" i="9"/>
  <c r="C73" i="9"/>
  <c r="C72" i="9"/>
  <c r="C71" i="9"/>
  <c r="C70" i="9"/>
  <c r="C69" i="9"/>
  <c r="C68" i="9"/>
  <c r="C67" i="9"/>
  <c r="C66" i="9"/>
  <c r="C65" i="9"/>
  <c r="C64" i="9"/>
  <c r="C63" i="9"/>
  <c r="C62" i="9"/>
  <c r="E57" i="9"/>
  <c r="E56" i="9"/>
  <c r="E55" i="9"/>
  <c r="E54" i="9"/>
  <c r="E53" i="9"/>
  <c r="F50" i="9"/>
  <c r="E50" i="9"/>
  <c r="F49" i="9"/>
  <c r="E49" i="9"/>
  <c r="F48" i="9"/>
  <c r="E48" i="9"/>
  <c r="F46" i="9"/>
  <c r="E46" i="9"/>
  <c r="F45" i="9"/>
  <c r="E45" i="9"/>
  <c r="F44" i="9"/>
  <c r="E44" i="9"/>
  <c r="F43" i="9"/>
  <c r="C43" i="9"/>
  <c r="E43" i="9"/>
  <c r="C30" i="9"/>
  <c r="C29" i="9"/>
  <c r="C28" i="9"/>
  <c r="C19" i="9"/>
  <c r="C18" i="9"/>
  <c r="C17" i="9"/>
  <c r="C16" i="9"/>
  <c r="C14" i="9"/>
  <c r="C13" i="9"/>
  <c r="C12" i="9"/>
  <c r="C11" i="9"/>
  <c r="C10" i="9"/>
  <c r="C9" i="9"/>
  <c r="C8" i="9"/>
  <c r="C7" i="9"/>
  <c r="D36" i="9"/>
  <c r="E36" i="9"/>
  <c r="D38" i="2"/>
  <c r="H38" i="2"/>
  <c r="I38" i="2"/>
  <c r="D19" i="2"/>
  <c r="H19" i="2"/>
  <c r="H76" i="2"/>
  <c r="F75" i="2"/>
  <c r="F32" i="2"/>
  <c r="G32" i="2"/>
  <c r="D22" i="2"/>
  <c r="D21" i="2"/>
  <c r="D20" i="2"/>
  <c r="F13" i="2"/>
  <c r="G13" i="2"/>
  <c r="G7" i="2"/>
  <c r="F8" i="2"/>
  <c r="G8" i="2"/>
  <c r="G6" i="2"/>
  <c r="F63" i="2"/>
  <c r="F68" i="2"/>
  <c r="H46" i="2"/>
  <c r="I45" i="2"/>
  <c r="I46" i="2"/>
  <c r="J45" i="2"/>
  <c r="J46" i="2"/>
  <c r="D8" i="2"/>
  <c r="H8" i="2"/>
  <c r="C9" i="7"/>
  <c r="B16" i="7"/>
  <c r="D13" i="2"/>
  <c r="H13" i="2"/>
  <c r="D33" i="3"/>
  <c r="D53" i="2"/>
  <c r="D24" i="2"/>
  <c r="H24" i="2"/>
  <c r="D30" i="3"/>
  <c r="I42" i="2"/>
  <c r="F58" i="2"/>
  <c r="G58" i="2"/>
  <c r="H58" i="2"/>
  <c r="F49" i="2"/>
  <c r="G49" i="2"/>
  <c r="F33" i="2"/>
  <c r="G33" i="2"/>
  <c r="F30" i="2"/>
  <c r="G30" i="2"/>
  <c r="H30" i="2"/>
  <c r="F31" i="2"/>
  <c r="G31" i="2"/>
  <c r="F29" i="2"/>
  <c r="G29" i="2"/>
  <c r="F20" i="2"/>
  <c r="G20" i="2"/>
  <c r="H20" i="2"/>
  <c r="F21" i="2"/>
  <c r="G21" i="2"/>
  <c r="H21" i="2"/>
  <c r="F22" i="2"/>
  <c r="G22" i="2"/>
  <c r="H22" i="2"/>
  <c r="F23" i="2"/>
  <c r="G23" i="2"/>
  <c r="F19" i="2"/>
  <c r="G19" i="2"/>
  <c r="H53" i="2"/>
  <c r="I53" i="2"/>
  <c r="J53" i="2"/>
  <c r="D50" i="2"/>
  <c r="H50" i="2"/>
  <c r="D49" i="2"/>
  <c r="H49" i="2"/>
  <c r="D54" i="2"/>
  <c r="H54" i="2"/>
  <c r="I24" i="2"/>
  <c r="J24" i="2"/>
  <c r="D67" i="2"/>
  <c r="D7" i="2"/>
  <c r="H7" i="2"/>
  <c r="D6" i="2"/>
  <c r="I6" i="2"/>
  <c r="J6" i="2" s="1"/>
  <c r="J9" i="2" s="1"/>
  <c r="D32" i="3"/>
  <c r="D31" i="2"/>
  <c r="D14" i="2"/>
  <c r="J28" i="2"/>
  <c r="J5" i="2"/>
  <c r="I72" i="2"/>
  <c r="I73" i="2"/>
  <c r="I74" i="2"/>
  <c r="I58" i="2"/>
  <c r="J58" i="2"/>
  <c r="I59" i="2"/>
  <c r="J59" i="2"/>
  <c r="I60" i="2"/>
  <c r="I61" i="2"/>
  <c r="I62" i="2"/>
  <c r="I49" i="2"/>
  <c r="J49" i="2"/>
  <c r="J51" i="2"/>
  <c r="J52" i="2"/>
  <c r="D29" i="2"/>
  <c r="I30" i="2"/>
  <c r="J30" i="2"/>
  <c r="D33" i="2"/>
  <c r="H33" i="2"/>
  <c r="D34" i="2"/>
  <c r="D31" i="3"/>
  <c r="D35" i="3"/>
  <c r="D23" i="2"/>
  <c r="I12" i="2"/>
  <c r="J12" i="2"/>
  <c r="I15" i="2"/>
  <c r="H77" i="2"/>
  <c r="H39" i="2"/>
  <c r="J15" i="2"/>
  <c r="D1" i="3"/>
  <c r="K2" i="2"/>
  <c r="H1" i="7"/>
  <c r="J73" i="2"/>
  <c r="J74" i="2"/>
  <c r="C2" i="2"/>
  <c r="B20" i="7"/>
  <c r="B24" i="7"/>
  <c r="C1" i="7"/>
  <c r="B1" i="3"/>
  <c r="J72" i="2"/>
  <c r="H34" i="2"/>
  <c r="I34" i="2"/>
  <c r="J34" i="2"/>
  <c r="H14" i="2"/>
  <c r="I14" i="2"/>
  <c r="J14" i="2"/>
  <c r="H31" i="2"/>
  <c r="I31" i="2"/>
  <c r="J31" i="2"/>
  <c r="J75" i="2"/>
  <c r="H23" i="2"/>
  <c r="I23" i="2"/>
  <c r="J23" i="2"/>
  <c r="H29" i="2"/>
  <c r="I29" i="2"/>
  <c r="J29" i="2"/>
  <c r="D32" i="2"/>
  <c r="J76" i="2"/>
  <c r="B25" i="7"/>
  <c r="H16" i="2"/>
  <c r="I8" i="2"/>
  <c r="I39" i="2"/>
  <c r="J38" i="2"/>
  <c r="J39" i="2"/>
  <c r="J42" i="2"/>
  <c r="I77" i="2"/>
  <c r="J61" i="2"/>
  <c r="I54" i="2"/>
  <c r="J54" i="2"/>
  <c r="I21" i="2"/>
  <c r="J21" i="2"/>
  <c r="I19" i="2"/>
  <c r="J19" i="2"/>
  <c r="I22" i="2"/>
  <c r="J22" i="2"/>
  <c r="I33" i="2"/>
  <c r="J33" i="2"/>
  <c r="H64" i="2"/>
  <c r="I7" i="2"/>
  <c r="J7" i="2"/>
  <c r="I13" i="2"/>
  <c r="J13" i="2"/>
  <c r="J62" i="2"/>
  <c r="J60" i="2"/>
  <c r="H55" i="2"/>
  <c r="J63" i="2"/>
  <c r="J64" i="2"/>
  <c r="J77" i="2"/>
  <c r="H32" i="2"/>
  <c r="I32" i="2"/>
  <c r="J16" i="2"/>
  <c r="J8" i="2"/>
  <c r="I9" i="2"/>
  <c r="I20" i="2"/>
  <c r="H25" i="2"/>
  <c r="I16" i="2"/>
  <c r="I64" i="2"/>
  <c r="H35" i="2"/>
  <c r="J32" i="2"/>
  <c r="I35" i="2"/>
  <c r="J35" i="2"/>
  <c r="J20" i="2"/>
  <c r="J25" i="2"/>
  <c r="I25" i="2"/>
  <c r="J50" i="2" l="1"/>
  <c r="J55" i="2" s="1"/>
  <c r="G13" i="7"/>
  <c r="G14" i="7"/>
  <c r="C10" i="7"/>
  <c r="C12" i="7" s="1"/>
  <c r="F10" i="7"/>
  <c r="F12" i="7" s="1"/>
  <c r="D10" i="7"/>
  <c r="D12" i="7" s="1"/>
  <c r="H10" i="7"/>
  <c r="H12" i="7" s="1"/>
  <c r="E10" i="7"/>
  <c r="E12" i="7" s="1"/>
  <c r="D13" i="7" l="1"/>
  <c r="D14" i="7" s="1"/>
  <c r="C13" i="7"/>
  <c r="C14" i="7"/>
  <c r="E13" i="7"/>
  <c r="E14" i="7"/>
  <c r="H13" i="7"/>
  <c r="H14" i="7" s="1"/>
  <c r="F13" i="7"/>
  <c r="F14" i="7" s="1"/>
  <c r="B15" i="7" l="1"/>
  <c r="B17" i="7" s="1"/>
  <c r="B18" i="7" s="1"/>
  <c r="B27" i="7" s="1"/>
  <c r="G67" i="2" l="1"/>
  <c r="F67" i="2"/>
  <c r="J67" i="2" l="1"/>
  <c r="I67" i="2"/>
  <c r="I69" i="2" s="1"/>
  <c r="I83" i="2" s="1"/>
  <c r="H67" i="2"/>
  <c r="H69" i="2" s="1"/>
  <c r="H83" i="2" s="1"/>
  <c r="J68" i="2" l="1"/>
  <c r="J69" i="2" s="1"/>
  <c r="J83" i="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Nevens Hilde</author>
  </authors>
  <commentList>
    <comment ref="D1" authorId="0" shapeId="0" xr:uid="{00000000-0006-0000-0100-000001000000}">
      <text>
        <r>
          <rPr>
            <sz val="9"/>
            <color indexed="81"/>
            <rFont val="Tahoma"/>
            <family val="2"/>
          </rPr>
          <t xml:space="preserve">
will be completed automatically</t>
        </r>
      </text>
    </comment>
    <comment ref="D35" authorId="0" shapeId="0" xr:uid="{00000000-0006-0000-0100-000002000000}">
      <text>
        <r>
          <rPr>
            <sz val="9"/>
            <color indexed="81"/>
            <rFont val="Tahoma"/>
            <family val="2"/>
          </rPr>
          <t xml:space="preserve">automatic calculation - every 3 months monitoring contact  - adjust formula (increase/d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Nevens Hilde</author>
  </authors>
  <commentList>
    <comment ref="C15" authorId="0" shapeId="0" xr:uid="{3BE4FBE0-CE19-4B60-9522-0F9244EEEDA4}">
      <text>
        <r>
          <rPr>
            <b/>
            <sz val="9"/>
            <color indexed="81"/>
            <rFont val="Tahoma"/>
            <charset val="1"/>
          </rPr>
          <t>Nevens Hilde:</t>
        </r>
        <r>
          <rPr>
            <sz val="9"/>
            <color indexed="81"/>
            <rFont val="Tahoma"/>
            <charset val="1"/>
          </rPr>
          <t xml:space="preserve">
based on IFIC 15</t>
        </r>
      </text>
    </comment>
    <comment ref="A25" authorId="0" shapeId="0" xr:uid="{53CA0F04-6457-4A95-B04A-98527E77336B}">
      <text>
        <r>
          <rPr>
            <b/>
            <sz val="9"/>
            <color indexed="81"/>
            <rFont val="Tahoma"/>
            <family val="2"/>
          </rPr>
          <t>Nevens Hilde:</t>
        </r>
        <r>
          <rPr>
            <sz val="9"/>
            <color indexed="81"/>
            <rFont val="Tahoma"/>
            <family val="2"/>
          </rPr>
          <t xml:space="preserve">
index of index of 01/06/2022:1,8845
index of 01/04/2020: 1,7410
multiplication by 1,0824</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tc={761B940E-A3A3-4603-8720-C28D9E614DD6}</author>
    <author>Nevens Hilde</author>
    <author>Stocquart Nelle</author>
  </authors>
  <commentList>
    <comment ref="F1" authorId="0" shapeId="0" xr:uid="{761B940E-A3A3-4603-8720-C28D9E614DD6}">
      <text>
        <t>[Threaded comment]
Your version of Excel allows you to read this threaded comment; however, any edits to it will get removed if the file is opened in a newer version of Excel. Learn more: https://go.microsoft.com/fwlink/?linkid=870924
Comment:
    comment to hide before publication</t>
      </text>
    </comment>
    <comment ref="I1" authorId="1" shapeId="0" xr:uid="{00000000-0006-0000-0400-000001000000}">
      <text>
        <r>
          <rPr>
            <sz val="9"/>
            <color indexed="81"/>
            <rFont val="Tahoma"/>
            <family val="2"/>
          </rPr>
          <t>only include where relevant</t>
        </r>
      </text>
    </comment>
    <comment ref="J1" authorId="1" shapeId="0" xr:uid="{00000000-0006-0000-0400-000002000000}">
      <text>
        <r>
          <rPr>
            <sz val="9"/>
            <color indexed="81"/>
            <rFont val="Tahoma"/>
            <family val="2"/>
          </rPr>
          <t>only include where relevant</t>
        </r>
      </text>
    </comment>
    <comment ref="K38" authorId="2" shapeId="0" xr:uid="{00000000-0006-0000-0400-000003000000}">
      <text>
        <r>
          <rPr>
            <b/>
            <sz val="9"/>
            <color indexed="81"/>
            <rFont val="Tahoma"/>
            <family val="2"/>
          </rPr>
          <t>Stocquart Nelle:</t>
        </r>
        <r>
          <rPr>
            <sz val="9"/>
            <color indexed="81"/>
            <rFont val="Tahoma"/>
            <family val="2"/>
          </rPr>
          <t xml:space="preserve">
SUSAR?</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Nevens Hilde</author>
  </authors>
  <commentList>
    <comment ref="C10" authorId="0" shapeId="0" xr:uid="{00000000-0006-0000-0500-000001000000}">
      <text>
        <r>
          <rPr>
            <b/>
            <sz val="9"/>
            <color indexed="81"/>
            <rFont val="Tahoma"/>
            <charset val="1"/>
          </rPr>
          <t>Nevens Hilde:</t>
        </r>
        <r>
          <rPr>
            <sz val="9"/>
            <color indexed="81"/>
            <rFont val="Tahoma"/>
            <charset val="1"/>
          </rPr>
          <t xml:space="preserve">
includes time for EDGE entry</t>
        </r>
      </text>
    </comment>
  </commentList>
</comments>
</file>

<file path=xl/sharedStrings.xml><?xml version="1.0" encoding="utf-8"?>
<sst xmlns="http://schemas.openxmlformats.org/spreadsheetml/2006/main" count="459" uniqueCount="356">
  <si>
    <t>Units</t>
  </si>
  <si>
    <t>hours</t>
  </si>
  <si>
    <t>SUM</t>
  </si>
  <si>
    <t>2a</t>
  </si>
  <si>
    <t>No. of units</t>
  </si>
  <si>
    <t>Project Design and Set up</t>
  </si>
  <si>
    <t xml:space="preserve">2b </t>
  </si>
  <si>
    <t>Subject Insurance</t>
  </si>
  <si>
    <t>Study Initiation Visit</t>
  </si>
  <si>
    <t>Study Monitoring Visits</t>
  </si>
  <si>
    <t>Project Management</t>
  </si>
  <si>
    <t>Shipment and Distribution Services</t>
  </si>
  <si>
    <t>Off-site monitoring and site contacts</t>
  </si>
  <si>
    <t>Number of sites</t>
  </si>
  <si>
    <t>Study timelines</t>
  </si>
  <si>
    <t>Study team involved</t>
  </si>
  <si>
    <t>Position</t>
  </si>
  <si>
    <t>PM</t>
  </si>
  <si>
    <t>CRA</t>
  </si>
  <si>
    <t>Overhead (in %) if applicable:</t>
  </si>
  <si>
    <t>VAT (in %) if applicable</t>
  </si>
  <si>
    <t>Other budget relevant info</t>
  </si>
  <si>
    <t>KCE Trial</t>
  </si>
  <si>
    <t>5a</t>
  </si>
  <si>
    <t>Data Management</t>
  </si>
  <si>
    <t>Monitoring</t>
  </si>
  <si>
    <t>External vendor</t>
  </si>
  <si>
    <t>Team member</t>
  </si>
  <si>
    <t>TMF Handling &amp; Administration</t>
  </si>
  <si>
    <t>Closure Visit</t>
  </si>
  <si>
    <t>Liaison KCE and Project Status Reports</t>
  </si>
  <si>
    <t>3d</t>
  </si>
  <si>
    <t>3f</t>
  </si>
  <si>
    <t>11a</t>
  </si>
  <si>
    <t>11b</t>
  </si>
  <si>
    <t>Packaging, blinding, labelling</t>
  </si>
  <si>
    <t>IMP destruction &amp; recovery unused products</t>
  </si>
  <si>
    <t>Auditor</t>
  </si>
  <si>
    <t>Administration of Site Payments</t>
  </si>
  <si>
    <t>Archiving</t>
  </si>
  <si>
    <t>Grand Total</t>
  </si>
  <si>
    <t>2d</t>
  </si>
  <si>
    <t>IMP/Intervention Handling</t>
  </si>
  <si>
    <t>IMP or intervention Accountability</t>
  </si>
  <si>
    <t>Site Costs</t>
  </si>
  <si>
    <t>once</t>
  </si>
  <si>
    <t>Study Parameters</t>
  </si>
  <si>
    <t>Budget Parameters</t>
  </si>
  <si>
    <t>CTA</t>
  </si>
  <si>
    <t>Procedure</t>
  </si>
  <si>
    <t>Screening</t>
  </si>
  <si>
    <t>Treatment Phase</t>
  </si>
  <si>
    <t>Study Treat discontinuation/ Early Termination Visit</t>
  </si>
  <si>
    <t>FU Phase</t>
  </si>
  <si>
    <t>V1</t>
  </si>
  <si>
    <t>V2</t>
  </si>
  <si>
    <t>Informed consent</t>
  </si>
  <si>
    <t>Per Patient Cost</t>
  </si>
  <si>
    <t>General Site Costs</t>
  </si>
  <si>
    <t>start-up fee</t>
  </si>
  <si>
    <t>Cost per completed patient</t>
  </si>
  <si>
    <t>Overhead Hospital</t>
  </si>
  <si>
    <t>Total cost per patient</t>
  </si>
  <si>
    <t>For all sites</t>
  </si>
  <si>
    <t>Cost (EURO)</t>
  </si>
  <si>
    <t>Actual Date</t>
  </si>
  <si>
    <t>1a</t>
  </si>
  <si>
    <t>1b</t>
  </si>
  <si>
    <t>1c</t>
  </si>
  <si>
    <t>Regulatory and Ethics Review</t>
  </si>
  <si>
    <t xml:space="preserve">Safety </t>
  </si>
  <si>
    <t>Statistics, report and publication</t>
  </si>
  <si>
    <t>Project Management (not included in the above headings)</t>
  </si>
  <si>
    <t>Storage &amp; distribution</t>
  </si>
  <si>
    <t>Sourcing of IMP/comparator/placebo/device (incl import license if appl)</t>
  </si>
  <si>
    <t>Study specific equipment</t>
  </si>
  <si>
    <t>External vendors/contractors/central review</t>
  </si>
  <si>
    <t>External Review</t>
  </si>
  <si>
    <t>hours/unit</t>
  </si>
  <si>
    <t>units</t>
  </si>
  <si>
    <t>unit</t>
  </si>
  <si>
    <t>V…</t>
  </si>
  <si>
    <t>Total general site costs/site</t>
  </si>
  <si>
    <t>Note that the information in this sheet should reflect the most recent version of the protocol - in case of discrepancies, the protocol will prevail</t>
  </si>
  <si>
    <t>CI</t>
  </si>
  <si>
    <t>EXT</t>
  </si>
  <si>
    <t>DM</t>
  </si>
  <si>
    <t>STAT</t>
  </si>
  <si>
    <t>Margin (in %) if applicable:</t>
  </si>
  <si>
    <t>Study Training - CRAs</t>
  </si>
  <si>
    <t>Administration and Documentation during trial</t>
  </si>
  <si>
    <t>TMF Preparation at start</t>
  </si>
  <si>
    <t>Investigator Study File at start</t>
  </si>
  <si>
    <t>fixed</t>
  </si>
  <si>
    <t>typically 4h per SAE all-in</t>
  </si>
  <si>
    <t xml:space="preserve">Comments, typical values as guidance </t>
  </si>
  <si>
    <t>Collaborator/site contracts (set-up, negotiation and finalisation)</t>
  </si>
  <si>
    <t>up to 16h per CRA</t>
  </si>
  <si>
    <t>Site payment calculation</t>
  </si>
  <si>
    <t>3a</t>
  </si>
  <si>
    <t>3b</t>
  </si>
  <si>
    <t>3c</t>
  </si>
  <si>
    <t>KCE number</t>
  </si>
  <si>
    <t xml:space="preserve"> (assigned when selected)</t>
  </si>
  <si>
    <t>Margin incl</t>
  </si>
  <si>
    <t>Overhead incl</t>
  </si>
  <si>
    <t>Overall Cost total</t>
  </si>
  <si>
    <t>DBL (Data Base Lock)</t>
  </si>
  <si>
    <t>CSR (Clinical Study Report)</t>
  </si>
  <si>
    <t>DD/MM/YYYY</t>
  </si>
  <si>
    <t>Study Title</t>
  </si>
  <si>
    <t>KCE Reference</t>
  </si>
  <si>
    <t>Protocol version</t>
  </si>
  <si>
    <t>cells in yellow are to be completed</t>
  </si>
  <si>
    <t>Budget version date</t>
  </si>
  <si>
    <t>Add other roles if relevant</t>
  </si>
  <si>
    <t>HE</t>
  </si>
  <si>
    <t>Planned number of remote monitoring contacts per site (for the total duration of the study)</t>
  </si>
  <si>
    <t>Planned number of on-site monitoring visits per site (for the total duration of the study)</t>
  </si>
  <si>
    <t>Total duration of the project (in years)</t>
  </si>
  <si>
    <t>SN</t>
  </si>
  <si>
    <t>PI</t>
  </si>
  <si>
    <t>Number of visits per subject</t>
  </si>
  <si>
    <t xml:space="preserve"> </t>
  </si>
  <si>
    <t>NA</t>
  </si>
  <si>
    <t>only occasionally applicable</t>
  </si>
  <si>
    <t>typically 4h per file</t>
  </si>
  <si>
    <t>Pharm</t>
  </si>
  <si>
    <t>Co CI</t>
  </si>
  <si>
    <t>PI nonMD</t>
  </si>
  <si>
    <t>per site</t>
  </si>
  <si>
    <t>3e</t>
  </si>
  <si>
    <t>Follow-up of and reporting of reportable Serious Adverse Events</t>
  </si>
  <si>
    <t>Investigator Meeting(s), results</t>
  </si>
  <si>
    <t>Study Team Meeting/Trial Management Group Meeting, included time from PM, CRA, CTA, CI</t>
  </si>
  <si>
    <t>Project Manager</t>
  </si>
  <si>
    <t>Clinical Research Associate</t>
  </si>
  <si>
    <t>Chief Investigator</t>
  </si>
  <si>
    <t>Co-Chief Investigator</t>
  </si>
  <si>
    <t>Clinical Trial Administrator</t>
  </si>
  <si>
    <t>Statistician</t>
  </si>
  <si>
    <t>Data Manager</t>
  </si>
  <si>
    <t>Study Nurse</t>
  </si>
  <si>
    <t>Health Economist</t>
  </si>
  <si>
    <t>Principal Investigator</t>
  </si>
  <si>
    <t>Pharmacist</t>
  </si>
  <si>
    <t>Principal Investigator non MD</t>
  </si>
  <si>
    <t>IMP or placebo dispensing  if applicable</t>
  </si>
  <si>
    <t>Physician time</t>
  </si>
  <si>
    <t>Study Coordinator time (data entry)</t>
  </si>
  <si>
    <r>
      <rPr>
        <b/>
        <sz val="10"/>
        <rFont val="Wingdings"/>
        <charset val="2"/>
      </rPr>
      <t>0</t>
    </r>
    <r>
      <rPr>
        <b/>
        <sz val="10"/>
        <rFont val="Arial"/>
        <family val="2"/>
      </rPr>
      <t xml:space="preserve"> Tab study parameters</t>
    </r>
    <r>
      <rPr>
        <sz val="10"/>
        <rFont val="Arial"/>
        <family val="2"/>
      </rPr>
      <t xml:space="preserve">
- Cells in yellow should be completed to the specifications of your trial
- These data are the linked to formulas in the other tabs. Do not remove or add lines in this tab
</t>
    </r>
  </si>
  <si>
    <r>
      <rPr>
        <b/>
        <sz val="10"/>
        <rFont val="Wingdings"/>
        <charset val="2"/>
      </rPr>
      <t>0</t>
    </r>
    <r>
      <rPr>
        <b/>
        <sz val="10"/>
        <rFont val="Arial"/>
        <family val="2"/>
      </rPr>
      <t xml:space="preserve"> Tab budget parameters</t>
    </r>
    <r>
      <rPr>
        <sz val="10"/>
        <rFont val="Arial"/>
        <family val="2"/>
      </rPr>
      <t xml:space="preserve">
- This tab contains the costs for the personnel involved in the trial based on KCE report 178 https://kce.fgov.be/publication/report/manual-for-cost-based-pricing-of-hospital-interventions. 
- These value should not be changed without the prior agreement of KCE Trials</t>
    </r>
  </si>
  <si>
    <r>
      <rPr>
        <b/>
        <sz val="10"/>
        <rFont val="Wingdings"/>
        <charset val="2"/>
      </rPr>
      <t>0</t>
    </r>
    <r>
      <rPr>
        <b/>
        <sz val="10"/>
        <rFont val="Arial"/>
        <family val="2"/>
      </rPr>
      <t xml:space="preserve"> Tab site costs</t>
    </r>
    <r>
      <rPr>
        <sz val="10"/>
        <rFont val="Arial"/>
        <family val="2"/>
      </rPr>
      <t xml:space="preserve">
- This tab needs to be completed with the estimated budget per study visit for the sites (which should be consistent with the table of trial visits and procedures in the protocol)
- It should be made study specific
- There are no links between this tab and the overall cost tab</t>
    </r>
  </si>
  <si>
    <t>Total duration of the project FPI to CSR (in months):</t>
  </si>
  <si>
    <t>Total duration of the project where monitoring is needed FPI to DBL (in months):</t>
  </si>
  <si>
    <t>1h per site per payment, assuming 2 payments/yr
if not taken care of by KCE</t>
  </si>
  <si>
    <t>adjust according to agreed delegation with sponsor</t>
  </si>
  <si>
    <t>should be taken care of by sponsor</t>
  </si>
  <si>
    <t>up to 8h per site per year</t>
  </si>
  <si>
    <t>budget received from international sponsor for this section</t>
  </si>
  <si>
    <t>KCE Trial - BCC</t>
  </si>
  <si>
    <t>grey shaded cells need to be completed in case a budget is received from the international sponsor to carry out the task
This can be eg. part of the investigator fee or support for monitoring</t>
  </si>
  <si>
    <t>FX</t>
  </si>
  <si>
    <t>per payment checked by CRA, confirmed by PM, assuming 2 payments/yr</t>
  </si>
  <si>
    <t>1d</t>
  </si>
  <si>
    <t>Site selection including on site feasibility assessment/visit</t>
  </si>
  <si>
    <t>Site selection including remote feasibility assessment</t>
  </si>
  <si>
    <t>adjust protocol to BE where applicable - adapt ICF to BE</t>
  </si>
  <si>
    <t>If separate batches to be sent to central lab (cost per batch)</t>
  </si>
  <si>
    <t>Storage yearly fee (to be calculated for every 12 months after initiation visit, not calendar based) - FIX no margin</t>
  </si>
  <si>
    <t>Blood sampling, processing and sending to lab for central analysis</t>
  </si>
  <si>
    <t>Blood sampling and sending to lab for central analysis</t>
  </si>
  <si>
    <t>by lab/site</t>
  </si>
  <si>
    <t>extra labelling if per batch and not per individual delivery -  - FIX no margin</t>
  </si>
  <si>
    <t>individual delivery (medication / co-medication), + labelling if applicable</t>
  </si>
  <si>
    <t>individual delivery (medication / co-medication)</t>
  </si>
  <si>
    <t>per protocol</t>
  </si>
  <si>
    <t>preparation medication</t>
  </si>
  <si>
    <t>reception, check (transfer delivery if appl) -  - FIX no margin</t>
  </si>
  <si>
    <t>storage yearly fee (to be calculated for every 12 months after initiation visit, not calendar based)  - FIX no margin</t>
  </si>
  <si>
    <t>yearly fee (to be calculated for every 12 months after initiation visit, not calendar based, includes time for follow-up and maintenance of the file, monitoring  and storage of returned medication if applicable) - FIX no margin</t>
  </si>
  <si>
    <t>start-up fee (includes reading protocol, setting up file, review contract, initiation and close out) - FIX no margin</t>
  </si>
  <si>
    <t>at pharmacy</t>
  </si>
  <si>
    <t>transit</t>
  </si>
  <si>
    <t>The above calculation takes into account the active study period; for long term extension this should be devided by 2</t>
  </si>
  <si>
    <t>International trials 0,1 FTE</t>
  </si>
  <si>
    <t xml:space="preserve">Total FTE planned for line 9a </t>
  </si>
  <si>
    <t>How to calculate the PM time</t>
  </si>
  <si>
    <t>fee to cover transportation costs for monitoring visits, inlcudes any margin - overhead not applicable</t>
  </si>
  <si>
    <t>Transportation fee</t>
  </si>
  <si>
    <t>Scroll down for indication for budget for Project Management, Pharmacy Fees and Lab fees</t>
  </si>
  <si>
    <t>Example for international trial with 5 sites</t>
  </si>
  <si>
    <t>Example for basic trial with 10 sites</t>
  </si>
  <si>
    <t>fixed amount per monitoring visit margin included, no overhead on this</t>
  </si>
  <si>
    <t>Recruitment period (in months)</t>
  </si>
  <si>
    <t xml:space="preserve">Total </t>
  </si>
  <si>
    <t>Study specific time (not Standard of Care)</t>
  </si>
  <si>
    <t>per box</t>
  </si>
  <si>
    <t>Expected number of SUSARs requiring expedited reporting by the BCC</t>
  </si>
  <si>
    <r>
      <rPr>
        <b/>
        <sz val="10"/>
        <rFont val="Wingdings"/>
        <charset val="2"/>
      </rPr>
      <t>0</t>
    </r>
    <r>
      <rPr>
        <b/>
        <sz val="10"/>
        <rFont val="Arial"/>
        <family val="2"/>
      </rPr>
      <t xml:space="preserve"> Tab overall costs</t>
    </r>
    <r>
      <rPr>
        <sz val="10"/>
        <rFont val="Arial"/>
        <family val="2"/>
      </rPr>
      <t xml:space="preserve">
- This tab needs to be completed with the estimated budget for the whole trial. For some of the activities, KCE has proposed a fixed amount based on the above mentioned rates and real time estimations
- In the case of a fixed amount (FX) the margin is already included - overhead only applies to FX if not outsourced</t>
    </r>
  </si>
  <si>
    <t xml:space="preserve">Investigator Meeting(s), initial meeting includes time from PM, CI, STAT, CRA, CTA, other </t>
  </si>
  <si>
    <t>payments</t>
  </si>
  <si>
    <t>For the calculation see budget parameters, How to calculate PM time</t>
  </si>
  <si>
    <t>8a</t>
  </si>
  <si>
    <t>Review of publication</t>
  </si>
  <si>
    <t>2.2 version 
- corrected the number of contracts with -1
- corrected the number of non-leading sites with -1 
- added fee for transportation for monitoring visits (margin already included, OH does not apply)
- included a calculation for project management, pharmacy costs and lab costs in the tab budget parameters
- added archiving cost for site
- removed catering fee
- added costs for review of publication</t>
  </si>
  <si>
    <t>3.0 version created for the publication on the website (call 2019)</t>
  </si>
  <si>
    <t>Budget
hourly fee - FX</t>
  </si>
  <si>
    <t>Margin</t>
  </si>
  <si>
    <t>Total cost for all patients</t>
  </si>
  <si>
    <t xml:space="preserve">Total cost (patients and general) </t>
  </si>
  <si>
    <r>
      <rPr>
        <b/>
        <sz val="10"/>
        <color rgb="FFFF0000"/>
        <rFont val="Arial"/>
        <family val="2"/>
      </rPr>
      <t>This excel sheet should be read together with the guidance notes which give more detailed information and practical examples.
It is developed for INTERNATIONAL trials where a Belgian site is acting as the Belgian Coordinating Centre (BCC) for all participating sites in Belgium - In case the spnosr is located in Belgium, the standard KCE budget tool template should be used,</t>
    </r>
    <r>
      <rPr>
        <sz val="10"/>
        <rFont val="Arial"/>
        <family val="2"/>
      </rPr>
      <t xml:space="preserve">
Note that cells with data in </t>
    </r>
    <r>
      <rPr>
        <b/>
        <sz val="10"/>
        <color theme="6"/>
        <rFont val="Arial"/>
        <family val="2"/>
      </rPr>
      <t>green</t>
    </r>
    <r>
      <rPr>
        <sz val="10"/>
        <rFont val="Arial"/>
        <family val="2"/>
      </rPr>
      <t xml:space="preserve"> contain formulas and should not be changed as they automatically calculate a total based on data entered in other cells (yellow cells).
</t>
    </r>
    <r>
      <rPr>
        <b/>
        <sz val="10"/>
        <rFont val="Wingdings"/>
        <charset val="2"/>
      </rPr>
      <t/>
    </r>
  </si>
  <si>
    <t>VAT on IMP/Intervention if applicable</t>
  </si>
  <si>
    <t>%</t>
  </si>
  <si>
    <t>only include if VAT is not deductible for your institution - otherwise delete this line</t>
  </si>
  <si>
    <t>VAT on external services</t>
  </si>
  <si>
    <t>VAT on site costs</t>
  </si>
  <si>
    <t>3.1 
- VAT lines added for section 11, 12 and 13</t>
  </si>
  <si>
    <t>Initial Leading Ethics Committee submission/Competent Authorities (CTR if applicable)</t>
  </si>
  <si>
    <t>Initial non-leading Ethics Committee submission/written statement</t>
  </si>
  <si>
    <t>Communication with EC and authorities during the Project</t>
  </si>
  <si>
    <t>Trial with GPs</t>
  </si>
  <si>
    <t xml:space="preserve"> (select from list)</t>
  </si>
  <si>
    <r>
      <t xml:space="preserve">Trial with
</t>
    </r>
    <r>
      <rPr>
        <sz val="10"/>
        <rFont val="Arial"/>
        <family val="2"/>
      </rPr>
      <t xml:space="preserve">- </t>
    </r>
    <r>
      <rPr>
        <b/>
        <sz val="10"/>
        <rFont val="Arial"/>
        <family val="2"/>
      </rPr>
      <t>IMP</t>
    </r>
    <r>
      <rPr>
        <sz val="10"/>
        <rFont val="Arial"/>
        <family val="2"/>
      </rPr>
      <t xml:space="preserve"> (Investigational Medicinal Product) or </t>
    </r>
    <r>
      <rPr>
        <b/>
        <sz val="10"/>
        <rFont val="Arial"/>
        <family val="2"/>
      </rPr>
      <t>MD</t>
    </r>
    <r>
      <rPr>
        <sz val="10"/>
        <rFont val="Arial"/>
        <family val="2"/>
      </rPr>
      <t xml:space="preserve"> (Medical Device) if not prescription based</t>
    </r>
    <r>
      <rPr>
        <strike/>
        <sz val="10"/>
        <rFont val="Arial"/>
        <family val="2"/>
      </rPr>
      <t xml:space="preserve">
</t>
    </r>
    <r>
      <rPr>
        <sz val="10"/>
        <rFont val="Arial"/>
        <family val="2"/>
      </rPr>
      <t>- Non standard of care local lab analysis/imaging/technical assessments</t>
    </r>
  </si>
  <si>
    <t>Trial subject to Clinical Trial Regulation (or pilot CTR)</t>
  </si>
  <si>
    <t>yes</t>
  </si>
  <si>
    <t>no</t>
  </si>
  <si>
    <t>GPs</t>
  </si>
  <si>
    <t>CTR</t>
  </si>
  <si>
    <t>IMP/MD/Training</t>
  </si>
  <si>
    <t>8h - 20h per visit</t>
  </si>
  <si>
    <t>12h - 20h per visit</t>
  </si>
  <si>
    <t>8h - 16h per visit</t>
  </si>
  <si>
    <t>4a</t>
  </si>
  <si>
    <t>4b</t>
  </si>
  <si>
    <t>4c</t>
  </si>
  <si>
    <t>4d</t>
  </si>
  <si>
    <t>4e</t>
  </si>
  <si>
    <t>4f</t>
  </si>
  <si>
    <t>4g</t>
  </si>
  <si>
    <t>7a</t>
  </si>
  <si>
    <t>8d</t>
  </si>
  <si>
    <t>8e</t>
  </si>
  <si>
    <t>8f</t>
  </si>
  <si>
    <t>8b</t>
  </si>
  <si>
    <t>monthly update meetings</t>
  </si>
  <si>
    <t>2-weekly meetings during recruitment period</t>
  </si>
  <si>
    <t>monthly meetings during FU period</t>
  </si>
  <si>
    <t>Site costs as detailed in the tab "site costs BCC"</t>
  </si>
  <si>
    <t>TAB</t>
  </si>
  <si>
    <t>5.0
- adapted according to changes made in the budget tool national call
- integrated monitoring plan and risk assesmment plan in the set-up costs</t>
  </si>
  <si>
    <t>To be increased with 0,0125 per site</t>
  </si>
  <si>
    <t>This is a demo; please adapt according to your protocol</t>
  </si>
  <si>
    <t>2c</t>
  </si>
  <si>
    <t>8c</t>
  </si>
  <si>
    <t>10b</t>
  </si>
  <si>
    <t>10a</t>
  </si>
  <si>
    <t>Patient vouchers (between 15€ and 25€ per visit)</t>
  </si>
  <si>
    <t>indicate the number of non standard of care visits and compensation for expenses</t>
  </si>
  <si>
    <t>9c</t>
  </si>
  <si>
    <t>9d</t>
  </si>
  <si>
    <t>9e</t>
  </si>
  <si>
    <t>9f</t>
  </si>
  <si>
    <t>9a</t>
  </si>
  <si>
    <t>9b</t>
  </si>
  <si>
    <t>11c</t>
  </si>
  <si>
    <t>11d</t>
  </si>
  <si>
    <t>11e</t>
  </si>
  <si>
    <t>Copyright © 2022 by KCE Trials. All rights reserved.
The budget tool and guidelines are developed by KCE Trials. If you wish to use this budget tool outside the KCE Trials Programme, you should contact trials@kce.fgov.be.
Tell us how and why you wish to use the tool. Please include your contact details: name, institution/company, address, telephone number, and email.</t>
  </si>
  <si>
    <t>Hourly rate
basis index 01/04/2020</t>
  </si>
  <si>
    <t>Indexed (01/06/2022)</t>
  </si>
  <si>
    <t>Index</t>
  </si>
  <si>
    <t>basis 01/04/2020</t>
  </si>
  <si>
    <t>Start-Up</t>
  </si>
  <si>
    <t>this is an example for medium complexity study in a hospital setting
to be adapted according to training requirement, team involved</t>
  </si>
  <si>
    <t>1 box per site depending on number of patients</t>
  </si>
  <si>
    <t>indexed (01/06/2022)</t>
  </si>
  <si>
    <r>
      <t xml:space="preserve">KCE approved fees for pharmacy activities in clincial trials - </t>
    </r>
    <r>
      <rPr>
        <b/>
        <sz val="10"/>
        <rFont val="Arial"/>
        <family val="2"/>
      </rPr>
      <t>to be used for site costs calculation if applicable</t>
    </r>
  </si>
  <si>
    <r>
      <t xml:space="preserve">KCE approved fees for laboratory activities in clincial trials - </t>
    </r>
    <r>
      <rPr>
        <b/>
        <sz val="10"/>
        <rFont val="Arial"/>
        <family val="2"/>
      </rPr>
      <t>to be used for site costs calculation if applicable</t>
    </r>
  </si>
  <si>
    <t>fixed amounts in overall costs</t>
  </si>
  <si>
    <t>basis 
(01/04/2020 index)</t>
  </si>
  <si>
    <t>indexed</t>
  </si>
  <si>
    <t>Protocol development 1</t>
  </si>
  <si>
    <t>Protocol development 2</t>
  </si>
  <si>
    <t>Protocol development 3</t>
  </si>
  <si>
    <t>Protocol development 4</t>
  </si>
  <si>
    <t>Feasibility Visit when IMP/lab/external services involved - on site</t>
  </si>
  <si>
    <t>Feasibility Visit with no involvement of external services or non-hospital setting - on site</t>
  </si>
  <si>
    <t>Feasibility Visit when IMP/lab/external services involved - remote</t>
  </si>
  <si>
    <t>Feasibility Visit with no involvement of external services or non-hospital setting - remote</t>
  </si>
  <si>
    <t>Collaborator/site contracts (set-up, negotiation and finalisation) in hospital/institutional setting or collaborator with tender required</t>
  </si>
  <si>
    <t>Collaborator/site contracts (set-up, negotiation and finalisation) for collaborator if no tender required</t>
  </si>
  <si>
    <t>Collaborator/site contracts (set-up, negotiation and finalisation) in non-hopsital setting</t>
  </si>
  <si>
    <t>Initial submission EC/Competent Authorities if CTR and complexity &gt;3</t>
  </si>
  <si>
    <t>Initial submission EC/Competent Authorities if CTR and complexity &gt;2</t>
  </si>
  <si>
    <t>Initial Leading submission EC/Competent Authorities if CTR and pilot</t>
  </si>
  <si>
    <t>Initial Leading Ethics Committee submission if non-CTR</t>
  </si>
  <si>
    <t>Initial EC submisson non CTR - per hospital site non CTR</t>
  </si>
  <si>
    <t>Initial submisson CTR - per site CTR</t>
  </si>
  <si>
    <t>Initila submission CTR - per GP</t>
  </si>
  <si>
    <t>EudtaCT reporting</t>
  </si>
  <si>
    <t>QA max amount</t>
  </si>
  <si>
    <t>QA sponsor audit including TMF</t>
  </si>
  <si>
    <t>QA site audit</t>
  </si>
  <si>
    <t>QA TMF ausit</t>
  </si>
  <si>
    <t>QA Systems audit</t>
  </si>
  <si>
    <t>TMF Preparation</t>
  </si>
  <si>
    <t>SUSAR reporting</t>
  </si>
  <si>
    <t>DSMB meetings</t>
  </si>
  <si>
    <t>Database Set-Up - pilots</t>
  </si>
  <si>
    <t>Database Set-Up - complexity 2-3</t>
  </si>
  <si>
    <t>Database Set-Up - complexity 4</t>
  </si>
  <si>
    <t>Additional Platforms to be integrated into eCRF</t>
  </si>
  <si>
    <t>Hosting database</t>
  </si>
  <si>
    <t>Data linkage</t>
  </si>
  <si>
    <t>Statistical analysis plan, randomisation and statistical programming</t>
  </si>
  <si>
    <t>Generation of tables and listings, Statistical analysis and report, Clinical Study Report if not pilot</t>
  </si>
  <si>
    <t>Generation of tables and listings, Statistical analysis and report, Clinical Study Report if  pilot</t>
  </si>
  <si>
    <t>Supplementary Database lock / Analysis of Long Term Follow-Up/Report</t>
  </si>
  <si>
    <t>Publication, incl revision</t>
  </si>
  <si>
    <t>Publication of the protocol</t>
  </si>
  <si>
    <t>Liason KCE status updates per meeting</t>
  </si>
  <si>
    <t>investigator meeting 1</t>
  </si>
  <si>
    <t>investigator meeting following</t>
  </si>
  <si>
    <t>investigator meeting results</t>
  </si>
  <si>
    <t>TSC meetings</t>
  </si>
  <si>
    <t>SMT meetings</t>
  </si>
  <si>
    <t>PPI</t>
  </si>
  <si>
    <t>PPI TSC</t>
  </si>
  <si>
    <t>Unit cost (call 2021 - 01/04/2020)</t>
  </si>
  <si>
    <t>Patient and Public Involvement</t>
  </si>
  <si>
    <t>Patient involvement in study project design and set-up</t>
  </si>
  <si>
    <t>mtg</t>
  </si>
  <si>
    <t>Other activities for patient involvment (if applicable)</t>
  </si>
  <si>
    <t>oth</t>
  </si>
  <si>
    <t>12a</t>
  </si>
  <si>
    <t>12b</t>
  </si>
  <si>
    <t>5.1</t>
  </si>
  <si>
    <t>- alligned with the budget tool 6.1
- indexed for most recent index 01/06/2022
- added PPI to the BCC costs</t>
  </si>
  <si>
    <t>FPI (First Participant In)</t>
  </si>
  <si>
    <t>LPI (Last Participant In)</t>
  </si>
  <si>
    <t>LPLV (Last Participant Last Visit)</t>
  </si>
  <si>
    <t>Number of participants</t>
  </si>
  <si>
    <t>Number of participants screened</t>
  </si>
  <si>
    <t>Number of participants completing</t>
  </si>
  <si>
    <t>Number of participants randomised</t>
  </si>
  <si>
    <r>
      <t xml:space="preserve">• Clinical Study Protocol incl stats, economic input, any rework, meetings
• Participant Information and Consent including translations
• Budget calculation
• KCE contract negotiation
</t>
    </r>
    <r>
      <rPr>
        <b/>
        <sz val="8"/>
        <rFont val="Arial"/>
        <family val="2"/>
      </rPr>
      <t xml:space="preserve">• </t>
    </r>
    <r>
      <rPr>
        <sz val="8"/>
        <rFont val="Arial"/>
        <family val="2"/>
      </rPr>
      <t>Amendments
• Delivery of risk assessment plan and monitoring plan</t>
    </r>
  </si>
  <si>
    <t>depending on involvement of external services and study setting</t>
  </si>
  <si>
    <r>
      <t xml:space="preserve">1125,70 €/collaborator/site - 225,14€/site if GPs or non-hospital setting - 562,85€/collaborator if no tender required
</t>
    </r>
    <r>
      <rPr>
        <sz val="10"/>
        <color rgb="FFFF0000"/>
        <rFont val="Arial"/>
        <family val="2"/>
      </rPr>
      <t>adjust formula if needed</t>
    </r>
  </si>
  <si>
    <t>depending on CTR and study setting</t>
  </si>
  <si>
    <t>2251,39 € for initial submission</t>
  </si>
  <si>
    <t>1125,7 €/yr</t>
  </si>
  <si>
    <t>e.g. 3h per contact per site - but will depend on risk assessment, number of participants, number of data points - to be adapted in formula depending on study
can be performed by data manager or CRA</t>
  </si>
  <si>
    <t>if not taken care of int'l, up to 1082,40 €</t>
  </si>
  <si>
    <t>per box, assuming 2 boxes per site per study</t>
  </si>
  <si>
    <t>Unit costs indexed (call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</si>
</sst>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 &quot;€&quot;_-;\-* #,##0.00\ &quot;€&quot;_-;_-* &quot;-&quot;??\ &quot;€&quot;_-;_-@_-"/>
    <numFmt numFmtId="165" formatCode="_ &quot;€&quot;\ * #,##0.00_ ;_ &quot;€&quot;\ * \-#,##0.00_ ;_ &quot;€&quot;\ * &quot;-&quot;??_ ;_ @_ "/>
    <numFmt numFmtId="166" formatCode="d/mm/yyyy;@"/>
    <numFmt numFmtId="167" formatCode="d/mm/yy;@"/>
    <numFmt numFmtId="168" formatCode="&quot;€&quot;\ #,##0.00"/>
    <numFmt numFmtId="169" formatCode="_ * #,##0.00_-\ [$€-1]_ ;_ * #,##0.00\-\ [$€-1]_ ;_ * &quot;-&quot;??_-\ [$€-1]_ ;_ @_ "/>
    <numFmt numFmtId="170" formatCode="0.0000"/>
  </numFmts>
  <fonts count="42" x14ac:knownFonts="1">
    <font>
      <sz val="10"/>
      <name val="Arial"/>
    </font>
    <font>
      <sz val="11"/>
      <color theme="1"/>
      <name val="Calibri"/>
      <family val="2"/>
      <scheme val="minor"/>
    </font>
    <font>
      <sz val="10"/>
      <name val="Arial"/>
      <family val="2"/>
    </font>
    <font>
      <sz val="8"/>
      <name val="Arial"/>
      <family val="2"/>
    </font>
    <font>
      <b/>
      <sz val="8"/>
      <name val="Arial"/>
      <family val="2"/>
    </font>
    <font>
      <b/>
      <sz val="10"/>
      <name val="Arial"/>
      <family val="2"/>
    </font>
    <font>
      <b/>
      <sz val="16"/>
      <name val="Arial"/>
      <family val="2"/>
    </font>
    <font>
      <sz val="8"/>
      <name val="Arial"/>
      <family val="2"/>
    </font>
    <font>
      <b/>
      <sz val="12"/>
      <color indexed="8"/>
      <name val="Arial"/>
      <family val="2"/>
    </font>
    <font>
      <sz val="10"/>
      <name val="Arial"/>
      <family val="2"/>
    </font>
    <font>
      <b/>
      <sz val="12"/>
      <name val="Arial"/>
      <family val="2"/>
    </font>
    <font>
      <i/>
      <sz val="8"/>
      <color rgb="FFFF0000"/>
      <name val="Arial"/>
      <family val="2"/>
    </font>
    <font>
      <sz val="9"/>
      <color indexed="81"/>
      <name val="Tahoma"/>
      <family val="2"/>
    </font>
    <font>
      <b/>
      <sz val="9"/>
      <name val="Arial"/>
      <family val="2"/>
    </font>
    <font>
      <b/>
      <sz val="8"/>
      <color indexed="8"/>
      <name val="Arial"/>
      <family val="2"/>
    </font>
    <font>
      <sz val="11"/>
      <color theme="1"/>
      <name val="Arial"/>
      <family val="2"/>
    </font>
    <font>
      <sz val="8"/>
      <color indexed="8"/>
      <name val="Arial"/>
      <family val="2"/>
    </font>
    <font>
      <sz val="8"/>
      <color theme="1"/>
      <name val="Arial"/>
      <family val="2"/>
    </font>
    <font>
      <b/>
      <sz val="8"/>
      <color rgb="FFFF0000"/>
      <name val="Arial"/>
      <family val="2"/>
    </font>
    <font>
      <sz val="12"/>
      <name val="Arial"/>
      <family val="2"/>
    </font>
    <font>
      <sz val="10"/>
      <color rgb="FFFF0000"/>
      <name val="Arial"/>
      <family val="2"/>
    </font>
    <font>
      <sz val="10"/>
      <color theme="6"/>
      <name val="Arial"/>
      <family val="2"/>
    </font>
    <font>
      <b/>
      <sz val="10"/>
      <color theme="6"/>
      <name val="Arial"/>
      <family val="2"/>
    </font>
    <font>
      <b/>
      <sz val="10"/>
      <color rgb="FFFF0000"/>
      <name val="Arial"/>
      <family val="2"/>
    </font>
    <font>
      <b/>
      <sz val="10"/>
      <name val="Wingdings"/>
      <charset val="2"/>
    </font>
    <font>
      <i/>
      <sz val="8"/>
      <name val="Arial"/>
      <family val="2"/>
    </font>
    <font>
      <b/>
      <i/>
      <sz val="8"/>
      <name val="Arial"/>
      <family val="2"/>
    </font>
    <font>
      <b/>
      <i/>
      <sz val="10"/>
      <name val="Arial"/>
      <family val="2"/>
    </font>
    <font>
      <i/>
      <sz val="10"/>
      <name val="Arial"/>
      <family val="2"/>
    </font>
    <font>
      <b/>
      <i/>
      <sz val="12"/>
      <color indexed="8"/>
      <name val="Arial"/>
      <family val="2"/>
    </font>
    <font>
      <sz val="10"/>
      <color theme="1"/>
      <name val="Calibri"/>
      <family val="2"/>
      <scheme val="minor"/>
    </font>
    <font>
      <b/>
      <sz val="12"/>
      <color theme="1"/>
      <name val="Calibri"/>
      <family val="2"/>
      <scheme val="minor"/>
    </font>
    <font>
      <i/>
      <sz val="9"/>
      <name val="Arial"/>
      <family val="2"/>
    </font>
    <font>
      <u/>
      <sz val="10"/>
      <color theme="10"/>
      <name val="Arial"/>
      <family val="2"/>
    </font>
    <font>
      <b/>
      <sz val="11"/>
      <color rgb="FFFF0000"/>
      <name val="Arial"/>
      <family val="2"/>
    </font>
    <font>
      <b/>
      <sz val="9"/>
      <color indexed="81"/>
      <name val="Tahoma"/>
      <family val="2"/>
    </font>
    <font>
      <b/>
      <sz val="10"/>
      <color theme="5"/>
      <name val="Arial"/>
      <family val="2"/>
    </font>
    <font>
      <sz val="9"/>
      <color indexed="81"/>
      <name val="Tahoma"/>
      <charset val="1"/>
    </font>
    <font>
      <b/>
      <sz val="9"/>
      <color indexed="81"/>
      <name val="Tahoma"/>
      <charset val="1"/>
    </font>
    <font>
      <sz val="8"/>
      <color rgb="FFFF0000"/>
      <name val="Arial"/>
      <family val="2"/>
    </font>
    <font>
      <strike/>
      <sz val="10"/>
      <name val="Arial"/>
      <family val="2"/>
    </font>
    <font>
      <sz val="10"/>
      <color theme="1"/>
      <name val="Arial"/>
      <family val="2"/>
    </font>
  </fonts>
  <fills count="7">
    <fill>
      <patternFill patternType="none"/>
    </fill>
    <fill>
      <patternFill patternType="gray125"/>
    </fill>
    <fill>
      <patternFill patternType="solid">
        <fgColor indexed="42"/>
        <bgColor indexed="64"/>
      </patternFill>
    </fill>
    <fill>
      <patternFill patternType="solid">
        <fgColor indexed="44"/>
        <bgColor indexed="64"/>
      </patternFill>
    </fill>
    <fill>
      <patternFill patternType="solid">
        <fgColor theme="9" tint="0.39997558519241921"/>
        <bgColor indexed="64"/>
      </patternFill>
    </fill>
    <fill>
      <patternFill patternType="solid">
        <fgColor rgb="FFFFFF00"/>
        <bgColor indexed="64"/>
      </patternFill>
    </fill>
    <fill>
      <patternFill patternType="solid">
        <fgColor theme="0" tint="-4.9989318521683403E-2"/>
        <bgColor indexed="64"/>
      </patternFill>
    </fill>
  </fills>
  <borders count="25">
    <border>
      <left/>
      <right/>
      <top/>
      <bottom/>
      <diagonal/>
    </border>
    <border>
      <left style="medium">
        <color indexed="64"/>
      </left>
      <right/>
      <top style="medium">
        <color indexed="64"/>
      </top>
      <bottom style="medium">
        <color indexed="64"/>
      </bottom>
      <diagonal/>
    </border>
    <border>
      <left style="medium">
        <color indexed="64"/>
      </left>
      <right style="hair">
        <color indexed="64"/>
      </right>
      <top/>
      <bottom style="hair">
        <color indexed="64"/>
      </bottom>
      <diagonal/>
    </border>
    <border>
      <left style="medium">
        <color indexed="64"/>
      </left>
      <right style="hair">
        <color indexed="64"/>
      </right>
      <top style="hair">
        <color indexed="64"/>
      </top>
      <bottom style="hair">
        <color indexed="64"/>
      </bottom>
      <diagonal/>
    </border>
    <border>
      <left/>
      <right/>
      <top style="medium">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medium">
        <color indexed="64"/>
      </right>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55"/>
      </top>
      <bottom style="thin">
        <color indexed="55"/>
      </bottom>
      <diagonal/>
    </border>
    <border>
      <left style="medium">
        <color indexed="64"/>
      </left>
      <right/>
      <top/>
      <bottom/>
      <diagonal/>
    </border>
    <border>
      <left style="hair">
        <color indexed="64"/>
      </left>
      <right/>
      <top/>
      <bottom style="hair">
        <color indexed="64"/>
      </bottom>
      <diagonal/>
    </border>
    <border>
      <left style="hair">
        <color indexed="64"/>
      </left>
      <right/>
      <top style="hair">
        <color indexed="64"/>
      </top>
      <bottom style="hair">
        <color indexed="64"/>
      </bottom>
      <diagonal/>
    </border>
    <border>
      <left/>
      <right style="medium">
        <color indexed="64"/>
      </right>
      <top style="medium">
        <color indexed="64"/>
      </top>
      <bottom style="medium">
        <color indexed="64"/>
      </bottom>
      <diagonal/>
    </border>
    <border>
      <left/>
      <right style="medium">
        <color indexed="64"/>
      </right>
      <top/>
      <bottom/>
      <diagonal/>
    </border>
    <border>
      <left/>
      <right/>
      <top style="thin">
        <color indexed="64"/>
      </top>
      <bottom/>
      <diagonal/>
    </border>
    <border>
      <left/>
      <right/>
      <top/>
      <bottom style="thin">
        <color indexed="64"/>
      </bottom>
      <diagonal/>
    </border>
    <border>
      <left style="medium">
        <color indexed="64"/>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1" fontId="0" fillId="0" borderId="0"/>
    <xf numFmtId="9" fontId="2" fillId="0" borderId="0" applyFont="0" applyFill="0" applyBorder="0" applyAlignment="0" applyProtection="0"/>
    <xf numFmtId="0" fontId="2" fillId="0" borderId="0"/>
    <xf numFmtId="0" fontId="1" fillId="0" borderId="0"/>
    <xf numFmtId="165" fontId="1" fillId="0" borderId="0" applyFont="0" applyFill="0" applyBorder="0" applyAlignment="0" applyProtection="0"/>
    <xf numFmtId="165" fontId="9" fillId="0" borderId="0" applyFont="0" applyFill="0" applyBorder="0" applyAlignment="0" applyProtection="0"/>
    <xf numFmtId="1" fontId="2" fillId="0" borderId="0"/>
    <xf numFmtId="165" fontId="2" fillId="0" borderId="0" applyFont="0" applyFill="0" applyBorder="0" applyAlignment="0" applyProtection="0"/>
    <xf numFmtId="1" fontId="33" fillId="0" borderId="0" applyNumberFormat="0" applyFill="0" applyBorder="0" applyAlignment="0" applyProtection="0"/>
  </cellStyleXfs>
  <cellXfs count="192">
    <xf numFmtId="1" fontId="0" fillId="0" borderId="0" xfId="0"/>
    <xf numFmtId="1" fontId="3" fillId="0" borderId="0" xfId="0" applyFont="1"/>
    <xf numFmtId="1" fontId="3" fillId="0" borderId="0" xfId="0" applyFont="1" applyAlignment="1">
      <alignment horizontal="right"/>
    </xf>
    <xf numFmtId="1" fontId="4" fillId="0" borderId="0" xfId="0" applyFont="1"/>
    <xf numFmtId="1" fontId="6" fillId="2" borderId="1" xfId="0" applyFont="1" applyFill="1" applyBorder="1"/>
    <xf numFmtId="1" fontId="4" fillId="0" borderId="5" xfId="0" applyFont="1" applyBorder="1"/>
    <xf numFmtId="1" fontId="3" fillId="0" borderId="6" xfId="0" applyFont="1" applyBorder="1"/>
    <xf numFmtId="1" fontId="4" fillId="0" borderId="7" xfId="0" applyFont="1" applyBorder="1" applyAlignment="1">
      <alignment horizontal="left"/>
    </xf>
    <xf numFmtId="1" fontId="4" fillId="0" borderId="8" xfId="0" applyFont="1" applyBorder="1"/>
    <xf numFmtId="1" fontId="6" fillId="2" borderId="9" xfId="0" applyFont="1" applyFill="1" applyBorder="1"/>
    <xf numFmtId="1" fontId="3" fillId="0" borderId="5" xfId="0" applyFont="1" applyBorder="1"/>
    <xf numFmtId="1" fontId="4" fillId="3" borderId="8" xfId="0" applyFont="1" applyFill="1" applyBorder="1"/>
    <xf numFmtId="1" fontId="4" fillId="3" borderId="6" xfId="0" applyFont="1" applyFill="1" applyBorder="1"/>
    <xf numFmtId="1" fontId="8" fillId="0" borderId="10" xfId="0" applyFont="1" applyBorder="1"/>
    <xf numFmtId="1" fontId="2" fillId="0" borderId="0" xfId="0" applyFont="1"/>
    <xf numFmtId="1" fontId="5" fillId="0" borderId="0" xfId="0" applyFont="1"/>
    <xf numFmtId="1" fontId="4" fillId="4" borderId="6" xfId="0" applyFont="1" applyFill="1" applyBorder="1"/>
    <xf numFmtId="1" fontId="6" fillId="2" borderId="4" xfId="0" applyFont="1" applyFill="1" applyBorder="1" applyAlignment="1">
      <alignment horizontal="left"/>
    </xf>
    <xf numFmtId="1" fontId="4" fillId="0" borderId="2" xfId="0" applyFont="1" applyBorder="1" applyAlignment="1">
      <alignment horizontal="left"/>
    </xf>
    <xf numFmtId="1" fontId="4" fillId="0" borderId="3" xfId="0" applyFont="1" applyBorder="1" applyAlignment="1">
      <alignment horizontal="left"/>
    </xf>
    <xf numFmtId="1" fontId="3" fillId="0" borderId="3" xfId="0" applyFont="1" applyBorder="1" applyAlignment="1">
      <alignment horizontal="left"/>
    </xf>
    <xf numFmtId="1" fontId="3" fillId="3" borderId="3" xfId="0" applyFont="1" applyFill="1" applyBorder="1" applyAlignment="1">
      <alignment horizontal="left"/>
    </xf>
    <xf numFmtId="1" fontId="3" fillId="4" borderId="3" xfId="0" applyFont="1" applyFill="1" applyBorder="1" applyAlignment="1">
      <alignment horizontal="left"/>
    </xf>
    <xf numFmtId="1" fontId="3" fillId="0" borderId="0" xfId="0" applyFont="1" applyAlignment="1">
      <alignment horizontal="left"/>
    </xf>
    <xf numFmtId="1" fontId="5" fillId="0" borderId="12" xfId="0" applyFont="1" applyBorder="1" applyAlignment="1">
      <alignment horizontal="left" wrapText="1"/>
    </xf>
    <xf numFmtId="1" fontId="5" fillId="0" borderId="13" xfId="0" applyFont="1" applyBorder="1" applyAlignment="1">
      <alignment horizontal="left"/>
    </xf>
    <xf numFmtId="1" fontId="5" fillId="3" borderId="13" xfId="0" applyFont="1" applyFill="1" applyBorder="1" applyAlignment="1">
      <alignment horizontal="left"/>
    </xf>
    <xf numFmtId="1" fontId="5" fillId="4" borderId="13" xfId="0" applyFont="1" applyFill="1" applyBorder="1" applyAlignment="1">
      <alignment horizontal="left"/>
    </xf>
    <xf numFmtId="1" fontId="4" fillId="0" borderId="0" xfId="0" applyFont="1" applyBorder="1" applyAlignment="1">
      <alignment horizontal="left"/>
    </xf>
    <xf numFmtId="1" fontId="0" fillId="0" borderId="11" xfId="0" applyBorder="1"/>
    <xf numFmtId="1" fontId="0" fillId="0" borderId="0" xfId="0" applyBorder="1"/>
    <xf numFmtId="1" fontId="0" fillId="0" borderId="15" xfId="0" applyBorder="1"/>
    <xf numFmtId="0" fontId="1" fillId="0" borderId="0" xfId="3"/>
    <xf numFmtId="167" fontId="10" fillId="2" borderId="14" xfId="0" applyNumberFormat="1" applyFont="1" applyFill="1" applyBorder="1"/>
    <xf numFmtId="1" fontId="0" fillId="0" borderId="0" xfId="0" applyFill="1"/>
    <xf numFmtId="1" fontId="0" fillId="0" borderId="0" xfId="0" applyFill="1" applyAlignment="1">
      <alignment horizontal="left"/>
    </xf>
    <xf numFmtId="1" fontId="0" fillId="0" borderId="0" xfId="0" applyNumberFormat="1" applyFill="1" applyAlignment="1">
      <alignment horizontal="left"/>
    </xf>
    <xf numFmtId="14" fontId="0" fillId="0" borderId="0" xfId="0" applyNumberFormat="1" applyFill="1"/>
    <xf numFmtId="1" fontId="11" fillId="0" borderId="11" xfId="0" applyFont="1" applyBorder="1"/>
    <xf numFmtId="166" fontId="10" fillId="2" borderId="14" xfId="0" applyNumberFormat="1" applyFont="1" applyFill="1" applyBorder="1"/>
    <xf numFmtId="168" fontId="5" fillId="0" borderId="13" xfId="5" applyNumberFormat="1" applyFont="1" applyBorder="1" applyAlignment="1">
      <alignment horizontal="left"/>
    </xf>
    <xf numFmtId="168" fontId="6" fillId="2" borderId="4" xfId="0" applyNumberFormat="1" applyFont="1" applyFill="1" applyBorder="1" applyAlignment="1">
      <alignment horizontal="left"/>
    </xf>
    <xf numFmtId="168" fontId="5" fillId="0" borderId="12" xfId="0" applyNumberFormat="1" applyFont="1" applyBorder="1" applyAlignment="1">
      <alignment horizontal="left" wrapText="1"/>
    </xf>
    <xf numFmtId="168" fontId="5" fillId="3" borderId="13" xfId="5" applyNumberFormat="1" applyFont="1" applyFill="1" applyBorder="1" applyAlignment="1">
      <alignment horizontal="left"/>
    </xf>
    <xf numFmtId="168" fontId="4" fillId="0" borderId="0" xfId="5" applyNumberFormat="1" applyFont="1" applyBorder="1" applyAlignment="1">
      <alignment horizontal="left"/>
    </xf>
    <xf numFmtId="168" fontId="5" fillId="4" borderId="13" xfId="5" applyNumberFormat="1" applyFont="1" applyFill="1" applyBorder="1" applyAlignment="1">
      <alignment horizontal="left"/>
    </xf>
    <xf numFmtId="168" fontId="4" fillId="0" borderId="0" xfId="0" applyNumberFormat="1" applyFont="1" applyBorder="1" applyAlignment="1">
      <alignment horizontal="left"/>
    </xf>
    <xf numFmtId="168" fontId="5" fillId="0" borderId="13" xfId="0" applyNumberFormat="1" applyFont="1" applyBorder="1" applyAlignment="1">
      <alignment horizontal="left"/>
    </xf>
    <xf numFmtId="1" fontId="2" fillId="0" borderId="13" xfId="0" applyFont="1" applyBorder="1" applyAlignment="1">
      <alignment horizontal="left"/>
    </xf>
    <xf numFmtId="168" fontId="2" fillId="0" borderId="13" xfId="5" applyNumberFormat="1" applyFont="1" applyBorder="1" applyAlignment="1">
      <alignment horizontal="left"/>
    </xf>
    <xf numFmtId="1" fontId="11" fillId="0" borderId="0" xfId="0" applyFont="1" applyBorder="1"/>
    <xf numFmtId="1" fontId="13" fillId="4" borderId="8" xfId="0" applyFont="1" applyFill="1" applyBorder="1"/>
    <xf numFmtId="1" fontId="10" fillId="2" borderId="1" xfId="0" applyFont="1" applyFill="1" applyBorder="1"/>
    <xf numFmtId="1" fontId="10" fillId="2" borderId="4" xfId="0" applyFont="1" applyFill="1" applyBorder="1"/>
    <xf numFmtId="1" fontId="10" fillId="2" borderId="14" xfId="0" applyFont="1" applyFill="1" applyBorder="1"/>
    <xf numFmtId="0" fontId="14" fillId="0" borderId="17" xfId="2" applyFont="1" applyBorder="1" applyAlignment="1">
      <alignment horizontal="center" vertical="center"/>
    </xf>
    <xf numFmtId="0" fontId="14" fillId="0" borderId="17" xfId="2" applyFont="1" applyBorder="1" applyAlignment="1">
      <alignment horizontal="center" vertical="center" wrapText="1"/>
    </xf>
    <xf numFmtId="0" fontId="14" fillId="0" borderId="0" xfId="2" applyFont="1" applyBorder="1" applyAlignment="1">
      <alignment horizontal="center" vertical="center"/>
    </xf>
    <xf numFmtId="0" fontId="15" fillId="0" borderId="0" xfId="3" applyFont="1"/>
    <xf numFmtId="0" fontId="15" fillId="0" borderId="0" xfId="3" applyFont="1" applyAlignment="1">
      <alignment horizontal="center"/>
    </xf>
    <xf numFmtId="0" fontId="16" fillId="0" borderId="0" xfId="3" applyNumberFormat="1" applyFont="1" applyFill="1" applyBorder="1" applyAlignment="1">
      <alignment horizontal="left" vertical="center" wrapText="1"/>
    </xf>
    <xf numFmtId="165" fontId="16" fillId="0" borderId="0" xfId="4" applyFont="1" applyFill="1" applyBorder="1" applyAlignment="1">
      <alignment horizontal="left" vertical="center" wrapText="1"/>
    </xf>
    <xf numFmtId="165" fontId="14" fillId="0" borderId="0" xfId="4" applyFont="1" applyFill="1" applyBorder="1" applyAlignment="1">
      <alignment horizontal="left" vertical="center" wrapText="1"/>
    </xf>
    <xf numFmtId="165" fontId="18" fillId="0" borderId="0" xfId="4" applyFont="1" applyFill="1" applyBorder="1" applyAlignment="1">
      <alignment horizontal="left" vertical="center" wrapText="1"/>
    </xf>
    <xf numFmtId="0" fontId="16" fillId="0" borderId="0" xfId="0" applyNumberFormat="1" applyFont="1" applyFill="1" applyBorder="1" applyAlignment="1">
      <alignment horizontal="left" vertical="center" wrapText="1"/>
    </xf>
    <xf numFmtId="0" fontId="17" fillId="0" borderId="0" xfId="3" applyFont="1" applyAlignment="1">
      <alignment horizontal="center"/>
    </xf>
    <xf numFmtId="0" fontId="14" fillId="0" borderId="0" xfId="2" applyFont="1" applyBorder="1" applyAlignment="1">
      <alignment horizontal="left" vertical="center"/>
    </xf>
    <xf numFmtId="0" fontId="14" fillId="0" borderId="16" xfId="2" applyFont="1" applyFill="1" applyBorder="1" applyAlignment="1">
      <alignment horizontal="left" vertical="center" wrapText="1"/>
    </xf>
    <xf numFmtId="165" fontId="14" fillId="0" borderId="16" xfId="4" applyFont="1" applyFill="1" applyBorder="1" applyAlignment="1">
      <alignment horizontal="left" vertical="center" wrapText="1"/>
    </xf>
    <xf numFmtId="1" fontId="0" fillId="5" borderId="0" xfId="0" applyFill="1"/>
    <xf numFmtId="1" fontId="2" fillId="5" borderId="0" xfId="0" applyFont="1" applyFill="1"/>
    <xf numFmtId="14" fontId="2" fillId="5" borderId="0" xfId="0" applyNumberFormat="1" applyFont="1" applyFill="1"/>
    <xf numFmtId="1" fontId="2" fillId="0" borderId="0" xfId="0" applyFont="1" applyFill="1"/>
    <xf numFmtId="1" fontId="21" fillId="0" borderId="0" xfId="0" applyFont="1"/>
    <xf numFmtId="1" fontId="2" fillId="0" borderId="0" xfId="0" applyFont="1" applyAlignment="1">
      <alignment wrapText="1"/>
    </xf>
    <xf numFmtId="1" fontId="2" fillId="0" borderId="13" xfId="0" applyFont="1" applyBorder="1" applyAlignment="1">
      <alignment horizontal="left" wrapText="1"/>
    </xf>
    <xf numFmtId="1" fontId="2" fillId="0" borderId="0" xfId="0" applyFont="1" applyAlignment="1">
      <alignment horizontal="left" vertical="top" wrapText="1"/>
    </xf>
    <xf numFmtId="168" fontId="21" fillId="0" borderId="13" xfId="5" applyNumberFormat="1" applyFont="1" applyBorder="1" applyAlignment="1">
      <alignment horizontal="left"/>
    </xf>
    <xf numFmtId="168" fontId="22" fillId="3" borderId="13" xfId="5" applyNumberFormat="1" applyFont="1" applyFill="1" applyBorder="1" applyAlignment="1">
      <alignment horizontal="left"/>
    </xf>
    <xf numFmtId="168" fontId="22" fillId="0" borderId="13" xfId="5" applyNumberFormat="1" applyFont="1" applyBorder="1" applyAlignment="1">
      <alignment horizontal="left"/>
    </xf>
    <xf numFmtId="1" fontId="21" fillId="0" borderId="13" xfId="0" applyFont="1" applyBorder="1" applyAlignment="1">
      <alignment horizontal="left"/>
    </xf>
    <xf numFmtId="166" fontId="10" fillId="2" borderId="14" xfId="0" applyNumberFormat="1" applyFont="1" applyFill="1" applyBorder="1" applyAlignment="1">
      <alignment horizontal="right" wrapText="1"/>
    </xf>
    <xf numFmtId="1" fontId="5" fillId="0" borderId="13" xfId="0" applyFont="1" applyBorder="1" applyAlignment="1">
      <alignment horizontal="left" wrapText="1"/>
    </xf>
    <xf numFmtId="1" fontId="20" fillId="0" borderId="13" xfId="0" applyFont="1" applyBorder="1" applyAlignment="1">
      <alignment horizontal="left" wrapText="1"/>
    </xf>
    <xf numFmtId="1" fontId="5" fillId="3" borderId="13" xfId="0" applyFont="1" applyFill="1" applyBorder="1" applyAlignment="1">
      <alignment horizontal="left" wrapText="1"/>
    </xf>
    <xf numFmtId="1" fontId="4" fillId="0" borderId="0" xfId="0" applyFont="1" applyBorder="1" applyAlignment="1">
      <alignment horizontal="left" wrapText="1"/>
    </xf>
    <xf numFmtId="1" fontId="5" fillId="4" borderId="13" xfId="0" applyFont="1" applyFill="1" applyBorder="1" applyAlignment="1">
      <alignment horizontal="left" wrapText="1"/>
    </xf>
    <xf numFmtId="1" fontId="8" fillId="0" borderId="10" xfId="0" applyFont="1" applyBorder="1" applyAlignment="1">
      <alignment wrapText="1"/>
    </xf>
    <xf numFmtId="1" fontId="3" fillId="0" borderId="6" xfId="0" applyFont="1" applyBorder="1" applyAlignment="1">
      <alignment wrapText="1"/>
    </xf>
    <xf numFmtId="1" fontId="3" fillId="0" borderId="5" xfId="0" applyFont="1" applyFill="1" applyBorder="1" applyAlignment="1">
      <alignment wrapText="1"/>
    </xf>
    <xf numFmtId="1" fontId="3" fillId="0" borderId="3" xfId="0" applyFont="1" applyFill="1" applyBorder="1" applyAlignment="1">
      <alignment horizontal="left"/>
    </xf>
    <xf numFmtId="1" fontId="2" fillId="0" borderId="13" xfId="0" applyFont="1" applyFill="1" applyBorder="1" applyAlignment="1">
      <alignment horizontal="left"/>
    </xf>
    <xf numFmtId="166" fontId="2" fillId="5" borderId="0" xfId="0" applyNumberFormat="1" applyFont="1" applyFill="1"/>
    <xf numFmtId="166" fontId="2" fillId="5" borderId="0" xfId="0" applyNumberFormat="1" applyFont="1" applyFill="1" applyAlignment="1">
      <alignment horizontal="right"/>
    </xf>
    <xf numFmtId="0" fontId="0" fillId="0" borderId="0" xfId="0" applyNumberFormat="1"/>
    <xf numFmtId="165" fontId="10" fillId="2" borderId="4" xfId="0" applyNumberFormat="1" applyFont="1" applyFill="1" applyBorder="1"/>
    <xf numFmtId="165" fontId="0" fillId="0" borderId="0" xfId="0" applyNumberFormat="1" applyBorder="1"/>
    <xf numFmtId="165" fontId="0" fillId="0" borderId="0" xfId="0" applyNumberFormat="1"/>
    <xf numFmtId="1" fontId="21" fillId="0" borderId="0" xfId="0" applyNumberFormat="1" applyFont="1"/>
    <xf numFmtId="1" fontId="8" fillId="6" borderId="18" xfId="0" applyFont="1" applyFill="1" applyBorder="1"/>
    <xf numFmtId="1" fontId="25" fillId="6" borderId="5" xfId="0" applyFont="1" applyFill="1" applyBorder="1"/>
    <xf numFmtId="1" fontId="26" fillId="6" borderId="3" xfId="0" applyFont="1" applyFill="1" applyBorder="1" applyAlignment="1">
      <alignment horizontal="left"/>
    </xf>
    <xf numFmtId="1" fontId="27" fillId="6" borderId="13" xfId="0" applyFont="1" applyFill="1" applyBorder="1" applyAlignment="1">
      <alignment horizontal="left"/>
    </xf>
    <xf numFmtId="168" fontId="27" fillId="6" borderId="13" xfId="5" applyNumberFormat="1" applyFont="1" applyFill="1" applyBorder="1" applyAlignment="1">
      <alignment horizontal="left"/>
    </xf>
    <xf numFmtId="168" fontId="27" fillId="6" borderId="13" xfId="0" applyNumberFormat="1" applyFont="1" applyFill="1" applyBorder="1" applyAlignment="1">
      <alignment horizontal="left"/>
    </xf>
    <xf numFmtId="1" fontId="28" fillId="6" borderId="13" xfId="0" applyFont="1" applyFill="1" applyBorder="1" applyAlignment="1">
      <alignment horizontal="left" wrapText="1"/>
    </xf>
    <xf numFmtId="1" fontId="29" fillId="6" borderId="18" xfId="0" applyFont="1" applyFill="1" applyBorder="1"/>
    <xf numFmtId="1" fontId="25" fillId="0" borderId="0" xfId="0" applyFont="1"/>
    <xf numFmtId="1" fontId="28" fillId="6" borderId="0" xfId="0" applyFont="1" applyFill="1" applyAlignment="1">
      <alignment horizontal="left" vertical="top" wrapText="1"/>
    </xf>
    <xf numFmtId="1" fontId="2" fillId="0" borderId="13" xfId="0" applyFont="1" applyFill="1" applyBorder="1" applyAlignment="1">
      <alignment horizontal="left" wrapText="1"/>
    </xf>
    <xf numFmtId="1" fontId="2" fillId="0" borderId="0" xfId="6"/>
    <xf numFmtId="2" fontId="2" fillId="0" borderId="0" xfId="6" applyNumberFormat="1"/>
    <xf numFmtId="2" fontId="21" fillId="0" borderId="0" xfId="6" applyNumberFormat="1" applyFont="1"/>
    <xf numFmtId="1" fontId="21" fillId="0" borderId="0" xfId="6" applyFont="1"/>
    <xf numFmtId="1" fontId="2" fillId="0" borderId="0" xfId="6" applyFont="1"/>
    <xf numFmtId="1" fontId="5" fillId="0" borderId="0" xfId="6" applyFont="1"/>
    <xf numFmtId="9" fontId="0" fillId="0" borderId="0" xfId="1" applyFont="1" applyAlignment="1">
      <alignment horizontal="left"/>
    </xf>
    <xf numFmtId="165" fontId="2" fillId="0" borderId="0" xfId="7" applyFont="1" applyFill="1"/>
    <xf numFmtId="1" fontId="10" fillId="2" borderId="14" xfId="6" applyFont="1" applyFill="1" applyBorder="1"/>
    <xf numFmtId="1" fontId="10" fillId="2" borderId="4" xfId="6" applyFont="1" applyFill="1" applyBorder="1"/>
    <xf numFmtId="1" fontId="10" fillId="2" borderId="1" xfId="6" applyFont="1" applyFill="1" applyBorder="1"/>
    <xf numFmtId="1" fontId="10" fillId="2" borderId="9" xfId="6" applyFont="1" applyFill="1" applyBorder="1"/>
    <xf numFmtId="1" fontId="19" fillId="0" borderId="15" xfId="6" applyFont="1" applyBorder="1"/>
    <xf numFmtId="1" fontId="19" fillId="0" borderId="0" xfId="6" applyFont="1" applyBorder="1"/>
    <xf numFmtId="1" fontId="32" fillId="0" borderId="11" xfId="6" applyFont="1" applyBorder="1"/>
    <xf numFmtId="167" fontId="10" fillId="2" borderId="14" xfId="6" applyNumberFormat="1" applyFont="1" applyFill="1" applyBorder="1"/>
    <xf numFmtId="1" fontId="3" fillId="0" borderId="0" xfId="6" applyFont="1" applyAlignment="1">
      <alignment horizontal="left" wrapText="1"/>
    </xf>
    <xf numFmtId="1" fontId="3" fillId="0" borderId="0" xfId="6" applyFont="1"/>
    <xf numFmtId="1" fontId="33" fillId="0" borderId="13" xfId="8" applyBorder="1" applyAlignment="1">
      <alignment horizontal="left" wrapText="1"/>
    </xf>
    <xf numFmtId="9" fontId="14" fillId="0" borderId="0" xfId="1" applyFont="1" applyFill="1" applyBorder="1" applyAlignment="1">
      <alignment horizontal="left" vertical="center" wrapText="1"/>
    </xf>
    <xf numFmtId="0" fontId="16" fillId="0" borderId="0" xfId="4" applyNumberFormat="1" applyFont="1" applyFill="1" applyBorder="1" applyAlignment="1">
      <alignment horizontal="left" vertical="center" wrapText="1"/>
    </xf>
    <xf numFmtId="1" fontId="34" fillId="0" borderId="0" xfId="0" applyFont="1" applyAlignment="1"/>
    <xf numFmtId="0" fontId="10" fillId="2" borderId="4" xfId="0" applyNumberFormat="1" applyFont="1" applyFill="1" applyBorder="1"/>
    <xf numFmtId="0" fontId="2" fillId="5" borderId="0" xfId="0" applyNumberFormat="1" applyFont="1" applyFill="1"/>
    <xf numFmtId="1" fontId="36" fillId="0" borderId="0" xfId="0" applyFont="1" applyAlignment="1">
      <alignment wrapText="1"/>
    </xf>
    <xf numFmtId="9" fontId="2" fillId="0" borderId="13" xfId="1" applyFont="1" applyBorder="1" applyAlignment="1">
      <alignment horizontal="left"/>
    </xf>
    <xf numFmtId="164" fontId="2" fillId="0" borderId="13" xfId="5" applyNumberFormat="1" applyFont="1" applyFill="1" applyBorder="1" applyAlignment="1">
      <alignment horizontal="left"/>
    </xf>
    <xf numFmtId="164" fontId="21" fillId="0" borderId="13" xfId="5" applyNumberFormat="1" applyFont="1" applyFill="1" applyBorder="1" applyAlignment="1">
      <alignment horizontal="left"/>
    </xf>
    <xf numFmtId="164" fontId="21" fillId="0" borderId="13" xfId="5" applyNumberFormat="1" applyFont="1" applyBorder="1" applyAlignment="1">
      <alignment horizontal="left"/>
    </xf>
    <xf numFmtId="164" fontId="2" fillId="0" borderId="13" xfId="5" applyNumberFormat="1" applyFont="1" applyBorder="1" applyAlignment="1">
      <alignment horizontal="left"/>
    </xf>
    <xf numFmtId="164" fontId="22" fillId="3" borderId="13" xfId="5" applyNumberFormat="1" applyFont="1" applyFill="1" applyBorder="1" applyAlignment="1">
      <alignment horizontal="left"/>
    </xf>
    <xf numFmtId="164" fontId="5" fillId="3" borderId="13" xfId="5" applyNumberFormat="1" applyFont="1" applyFill="1" applyBorder="1" applyAlignment="1">
      <alignment horizontal="left"/>
    </xf>
    <xf numFmtId="164" fontId="21" fillId="0" borderId="13" xfId="7" applyNumberFormat="1" applyFont="1" applyBorder="1" applyAlignment="1">
      <alignment horizontal="left"/>
    </xf>
    <xf numFmtId="164" fontId="27" fillId="6" borderId="13" xfId="5" applyNumberFormat="1" applyFont="1" applyFill="1" applyBorder="1" applyAlignment="1">
      <alignment horizontal="left"/>
    </xf>
    <xf numFmtId="164" fontId="27" fillId="6" borderId="13" xfId="0" applyNumberFormat="1" applyFont="1" applyFill="1" applyBorder="1" applyAlignment="1">
      <alignment horizontal="left"/>
    </xf>
    <xf numFmtId="164" fontId="28" fillId="6" borderId="13" xfId="0" applyNumberFormat="1" applyFont="1" applyFill="1" applyBorder="1" applyAlignment="1">
      <alignment horizontal="left"/>
    </xf>
    <xf numFmtId="164" fontId="22" fillId="0" borderId="13" xfId="5" applyNumberFormat="1" applyFont="1" applyBorder="1" applyAlignment="1">
      <alignment horizontal="left"/>
    </xf>
    <xf numFmtId="164" fontId="5" fillId="0" borderId="13" xfId="5" applyNumberFormat="1" applyFont="1" applyBorder="1" applyAlignment="1">
      <alignment horizontal="left"/>
    </xf>
    <xf numFmtId="164" fontId="4" fillId="0" borderId="0" xfId="0" applyNumberFormat="1" applyFont="1" applyBorder="1" applyAlignment="1">
      <alignment horizontal="left"/>
    </xf>
    <xf numFmtId="164" fontId="5" fillId="4" borderId="13" xfId="5" applyNumberFormat="1" applyFont="1" applyFill="1" applyBorder="1" applyAlignment="1">
      <alignment horizontal="left"/>
    </xf>
    <xf numFmtId="1" fontId="5" fillId="0" borderId="0" xfId="0" applyFont="1" applyAlignment="1">
      <alignment wrapText="1"/>
    </xf>
    <xf numFmtId="1" fontId="21" fillId="5" borderId="0" xfId="0" applyFont="1" applyFill="1"/>
    <xf numFmtId="164" fontId="16" fillId="0" borderId="0" xfId="4" applyNumberFormat="1" applyFont="1" applyFill="1" applyBorder="1" applyAlignment="1">
      <alignment horizontal="left" vertical="center" wrapText="1"/>
    </xf>
    <xf numFmtId="164" fontId="15" fillId="0" borderId="0" xfId="3" applyNumberFormat="1" applyFont="1"/>
    <xf numFmtId="164" fontId="14" fillId="0" borderId="16" xfId="4" applyNumberFormat="1" applyFont="1" applyFill="1" applyBorder="1" applyAlignment="1">
      <alignment horizontal="left" vertical="center" wrapText="1"/>
    </xf>
    <xf numFmtId="164" fontId="14" fillId="0" borderId="0" xfId="4" applyNumberFormat="1" applyFont="1" applyFill="1" applyBorder="1" applyAlignment="1">
      <alignment horizontal="left" vertical="center" wrapText="1"/>
    </xf>
    <xf numFmtId="164" fontId="18" fillId="0" borderId="0" xfId="3" applyNumberFormat="1" applyFont="1"/>
    <xf numFmtId="164" fontId="39" fillId="0" borderId="0" xfId="3" applyNumberFormat="1" applyFont="1"/>
    <xf numFmtId="164" fontId="2" fillId="0" borderId="13" xfId="1" applyNumberFormat="1" applyFont="1" applyBorder="1" applyAlignment="1">
      <alignment horizontal="left"/>
    </xf>
    <xf numFmtId="1" fontId="10" fillId="2" borderId="0" xfId="6" applyFont="1" applyFill="1" applyBorder="1" applyAlignment="1">
      <alignment horizontal="left"/>
    </xf>
    <xf numFmtId="169" fontId="0" fillId="0" borderId="0" xfId="7" applyNumberFormat="1" applyFont="1"/>
    <xf numFmtId="170" fontId="0" fillId="0" borderId="0" xfId="0" applyNumberFormat="1" applyAlignment="1">
      <alignment horizontal="left"/>
    </xf>
    <xf numFmtId="170" fontId="2" fillId="0" borderId="0" xfId="0" applyNumberFormat="1" applyFont="1" applyAlignment="1">
      <alignment horizontal="left"/>
    </xf>
    <xf numFmtId="1" fontId="31" fillId="0" borderId="20" xfId="0" applyFont="1" applyBorder="1"/>
    <xf numFmtId="169" fontId="30" fillId="0" borderId="19" xfId="7" applyNumberFormat="1" applyFont="1" applyBorder="1"/>
    <xf numFmtId="1" fontId="31" fillId="0" borderId="19" xfId="0" applyFont="1" applyBorder="1"/>
    <xf numFmtId="169" fontId="3" fillId="0" borderId="6" xfId="0" applyNumberFormat="1" applyFont="1" applyBorder="1" applyAlignment="1">
      <alignment wrapText="1"/>
    </xf>
    <xf numFmtId="1" fontId="3" fillId="0" borderId="0" xfId="0" applyFont="1" applyAlignment="1">
      <alignment wrapText="1"/>
    </xf>
    <xf numFmtId="1" fontId="3" fillId="0" borderId="11" xfId="0" applyFont="1" applyBorder="1" applyAlignment="1">
      <alignment wrapText="1"/>
    </xf>
    <xf numFmtId="1" fontId="10" fillId="0" borderId="10" xfId="0" applyFont="1" applyBorder="1"/>
    <xf numFmtId="164" fontId="22" fillId="0" borderId="13" xfId="7" applyNumberFormat="1" applyFont="1" applyBorder="1" applyAlignment="1">
      <alignment horizontal="left"/>
    </xf>
    <xf numFmtId="164" fontId="5" fillId="0" borderId="13" xfId="7" applyNumberFormat="1" applyFont="1" applyBorder="1" applyAlignment="1">
      <alignment horizontal="left"/>
    </xf>
    <xf numFmtId="164" fontId="2" fillId="0" borderId="13" xfId="7" applyNumberFormat="1" applyFont="1" applyBorder="1" applyAlignment="1">
      <alignment horizontal="left"/>
    </xf>
    <xf numFmtId="164" fontId="2" fillId="0" borderId="13" xfId="7" applyNumberFormat="1" applyFont="1" applyFill="1" applyBorder="1" applyAlignment="1">
      <alignment horizontal="left"/>
    </xf>
    <xf numFmtId="164" fontId="5" fillId="3" borderId="13" xfId="7" applyNumberFormat="1" applyFont="1" applyFill="1" applyBorder="1" applyAlignment="1">
      <alignment horizontal="left"/>
    </xf>
    <xf numFmtId="1" fontId="3" fillId="0" borderId="0" xfId="6" quotePrefix="1" applyFont="1" applyAlignment="1">
      <alignment horizontal="left" wrapText="1"/>
    </xf>
    <xf numFmtId="164" fontId="41" fillId="0" borderId="13" xfId="5" applyNumberFormat="1" applyFont="1" applyBorder="1" applyAlignment="1">
      <alignment horizontal="left"/>
    </xf>
    <xf numFmtId="1" fontId="2" fillId="0" borderId="17" xfId="0" applyFont="1" applyBorder="1" applyAlignment="1">
      <alignment horizontal="center"/>
    </xf>
    <xf numFmtId="1" fontId="2" fillId="0" borderId="0" xfId="0" applyFont="1" applyAlignment="1">
      <alignment horizontal="center"/>
    </xf>
    <xf numFmtId="1" fontId="0" fillId="0" borderId="0" xfId="0" applyAlignment="1">
      <alignment horizontal="center"/>
    </xf>
    <xf numFmtId="1" fontId="2" fillId="0" borderId="0" xfId="0" applyFont="1" applyAlignment="1">
      <alignment horizontal="left" wrapText="1"/>
    </xf>
    <xf numFmtId="1" fontId="0" fillId="0" borderId="0" xfId="0" applyAlignment="1">
      <alignment horizontal="left"/>
    </xf>
    <xf numFmtId="1" fontId="30" fillId="0" borderId="23" xfId="0" applyFont="1" applyBorder="1" applyAlignment="1">
      <alignment horizontal="left" wrapText="1"/>
    </xf>
    <xf numFmtId="1" fontId="30" fillId="0" borderId="24" xfId="0" applyFont="1" applyBorder="1" applyAlignment="1">
      <alignment horizontal="left" wrapText="1"/>
    </xf>
    <xf numFmtId="1" fontId="0" fillId="0" borderId="16" xfId="0" applyBorder="1" applyAlignment="1">
      <alignment horizontal="center"/>
    </xf>
    <xf numFmtId="1" fontId="10" fillId="2" borderId="21" xfId="0" applyFont="1" applyFill="1" applyBorder="1" applyAlignment="1">
      <alignment horizontal="left" wrapText="1"/>
    </xf>
    <xf numFmtId="1" fontId="10" fillId="2" borderId="22" xfId="0" applyFont="1" applyFill="1" applyBorder="1" applyAlignment="1">
      <alignment horizontal="left" wrapText="1"/>
    </xf>
    <xf numFmtId="1" fontId="10" fillId="2" borderId="11" xfId="6" applyFont="1" applyFill="1" applyBorder="1" applyAlignment="1">
      <alignment horizontal="left"/>
    </xf>
    <xf numFmtId="1" fontId="10" fillId="2" borderId="0" xfId="6" applyFont="1" applyFill="1" applyBorder="1" applyAlignment="1">
      <alignment horizontal="left"/>
    </xf>
    <xf numFmtId="1" fontId="2" fillId="0" borderId="0" xfId="6" applyFont="1" applyAlignment="1">
      <alignment horizontal="left" wrapText="1"/>
    </xf>
    <xf numFmtId="0" fontId="14" fillId="0" borderId="17" xfId="2" applyFont="1" applyBorder="1" applyAlignment="1">
      <alignment horizontal="center" vertical="center"/>
    </xf>
    <xf numFmtId="1" fontId="34" fillId="0" borderId="0" xfId="0" applyFont="1" applyAlignment="1">
      <alignment horizontal="left" vertical="top" wrapText="1"/>
    </xf>
  </cellXfs>
  <cellStyles count="9">
    <cellStyle name="Currency" xfId="5" builtinId="4"/>
    <cellStyle name="Currency 2" xfId="4" xr:uid="{00000000-0005-0000-0000-000001000000}"/>
    <cellStyle name="Currency 3" xfId="7" xr:uid="{00000000-0005-0000-0000-000002000000}"/>
    <cellStyle name="Hyperlink" xfId="8" builtinId="8"/>
    <cellStyle name="Normal" xfId="0" builtinId="0"/>
    <cellStyle name="Normal 2" xfId="2" xr:uid="{00000000-0005-0000-0000-000005000000}"/>
    <cellStyle name="Normal 3" xfId="3" xr:uid="{00000000-0005-0000-0000-000006000000}"/>
    <cellStyle name="Normal 4" xfId="6" xr:uid="{00000000-0005-0000-0000-000007000000}"/>
    <cellStyle name="Percent" xfId="1" builtinId="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9900"/>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person displayName="Nevens Hilde" id="{2598FE8B-7BB5-49FA-BF7C-29EFFA737F80}" userId="Nevens Hilde" providerId="None"/>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F1" dT="2022-05-16T11:29:08.62" personId="{2598FE8B-7BB5-49FA-BF7C-29EFFA737F80}" id="{761B940E-A3A3-4603-8720-C28D9E614DD6}">
    <text>comment to hide before publication</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 Id="rId6" Type="http://schemas.microsoft.com/office/2017/10/relationships/threadedComment" Target="../threadedComments/threadedComment1.xml"/><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7.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0"/>
  <sheetViews>
    <sheetView tabSelected="1" zoomScaleNormal="100" workbookViewId="0"/>
  </sheetViews>
  <sheetFormatPr defaultRowHeight="13.2" x14ac:dyDescent="0.25"/>
  <cols>
    <col min="1" max="1" width="206.5546875" customWidth="1"/>
  </cols>
  <sheetData>
    <row r="1" spans="1:1" ht="63.6" customHeight="1" x14ac:dyDescent="0.25">
      <c r="A1" s="76" t="s">
        <v>211</v>
      </c>
    </row>
    <row r="2" spans="1:1" ht="47.55" customHeight="1" x14ac:dyDescent="0.25">
      <c r="A2" s="76" t="s">
        <v>150</v>
      </c>
    </row>
    <row r="3" spans="1:1" ht="39.6" x14ac:dyDescent="0.25">
      <c r="A3" s="76" t="s">
        <v>151</v>
      </c>
    </row>
    <row r="4" spans="1:1" ht="39.6" x14ac:dyDescent="0.25">
      <c r="A4" s="76" t="s">
        <v>199</v>
      </c>
    </row>
    <row r="5" spans="1:1" ht="52.8" x14ac:dyDescent="0.25">
      <c r="A5" s="76" t="s">
        <v>152</v>
      </c>
    </row>
    <row r="7" spans="1:1" ht="26.4" x14ac:dyDescent="0.25">
      <c r="A7" s="108" t="s">
        <v>161</v>
      </c>
    </row>
    <row r="10" spans="1:1" ht="39.6" x14ac:dyDescent="0.25">
      <c r="A10" s="134" t="s">
        <v>268</v>
      </c>
    </row>
  </sheetData>
  <printOptions gridLines="1"/>
  <pageMargins left="0.70866141732283472" right="0.70866141732283472" top="0.74803149606299213" bottom="0.74803149606299213" header="0.31496062992125984" footer="0.31496062992125984"/>
  <pageSetup paperSize="9" orientation="landscape" r:id="rId1"/>
  <headerFooter>
    <oddFooter xml:space="preserve">&amp;L&amp;"Arial,Cursief"&amp;8&amp;F
Copyright © 2021 by KCE Trials. All rights reserved.&amp;C&amp;"Arial,Cursief"&amp;8Page &amp;P/&amp;N&amp;R&amp;"Arial,Cursief"&amp;8&amp;A
KCET_TEmp_FU_011 Budget tool BCC v5.0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45"/>
  <sheetViews>
    <sheetView zoomScaleNormal="100" workbookViewId="0"/>
  </sheetViews>
  <sheetFormatPr defaultRowHeight="13.2" x14ac:dyDescent="0.25"/>
  <cols>
    <col min="1" max="1" width="48.44140625" customWidth="1"/>
    <col min="2" max="2" width="47.5546875" customWidth="1"/>
    <col min="3" max="3" width="10.77734375" customWidth="1"/>
    <col min="4" max="4" width="24.5546875" customWidth="1"/>
  </cols>
  <sheetData>
    <row r="1" spans="1:4" ht="16.2" thickBot="1" x14ac:dyDescent="0.35">
      <c r="A1" s="52" t="s">
        <v>22</v>
      </c>
      <c r="B1" s="132" t="str">
        <f>B7</f>
        <v>KCE number</v>
      </c>
      <c r="C1" s="53"/>
      <c r="D1" s="33" t="str">
        <f>B11</f>
        <v>DD/MM/YYYY</v>
      </c>
    </row>
    <row r="2" spans="1:4" ht="13.8" thickBot="1" x14ac:dyDescent="0.3">
      <c r="A2" s="38" t="s">
        <v>83</v>
      </c>
      <c r="B2" s="96"/>
      <c r="C2" s="30"/>
      <c r="D2" s="31"/>
    </row>
    <row r="3" spans="1:4" ht="16.2" thickBot="1" x14ac:dyDescent="0.35">
      <c r="A3" s="52" t="s">
        <v>46</v>
      </c>
      <c r="B3" s="95"/>
      <c r="C3" s="53"/>
      <c r="D3" s="54"/>
    </row>
    <row r="4" spans="1:4" x14ac:dyDescent="0.25">
      <c r="B4" s="97"/>
    </row>
    <row r="5" spans="1:4" x14ac:dyDescent="0.25">
      <c r="A5" s="15" t="s">
        <v>110</v>
      </c>
      <c r="B5" s="69"/>
    </row>
    <row r="6" spans="1:4" x14ac:dyDescent="0.25">
      <c r="A6" s="15"/>
      <c r="B6" s="34"/>
    </row>
    <row r="7" spans="1:4" x14ac:dyDescent="0.25">
      <c r="A7" s="15" t="s">
        <v>111</v>
      </c>
      <c r="B7" s="133" t="s">
        <v>102</v>
      </c>
      <c r="C7" s="30"/>
      <c r="D7" s="50" t="s">
        <v>103</v>
      </c>
    </row>
    <row r="8" spans="1:4" x14ac:dyDescent="0.25">
      <c r="A8" s="15"/>
      <c r="B8" s="72"/>
      <c r="C8" s="30"/>
      <c r="D8" s="50"/>
    </row>
    <row r="9" spans="1:4" x14ac:dyDescent="0.25">
      <c r="A9" s="15" t="s">
        <v>112</v>
      </c>
      <c r="B9" s="70"/>
    </row>
    <row r="10" spans="1:4" x14ac:dyDescent="0.25">
      <c r="A10" s="15"/>
      <c r="B10" s="72"/>
    </row>
    <row r="11" spans="1:4" x14ac:dyDescent="0.25">
      <c r="A11" s="15" t="s">
        <v>114</v>
      </c>
      <c r="B11" s="71" t="s">
        <v>109</v>
      </c>
    </row>
    <row r="12" spans="1:4" x14ac:dyDescent="0.25">
      <c r="A12" s="15"/>
    </row>
    <row r="13" spans="1:4" x14ac:dyDescent="0.25">
      <c r="A13" s="15" t="s">
        <v>342</v>
      </c>
      <c r="B13" t="s">
        <v>343</v>
      </c>
      <c r="C13" s="69"/>
    </row>
    <row r="14" spans="1:4" x14ac:dyDescent="0.25">
      <c r="A14" s="15"/>
      <c r="B14" s="14" t="s">
        <v>345</v>
      </c>
      <c r="C14" s="69"/>
    </row>
    <row r="15" spans="1:4" x14ac:dyDescent="0.25">
      <c r="A15" s="15"/>
      <c r="B15" t="s">
        <v>344</v>
      </c>
      <c r="C15" s="69"/>
    </row>
    <row r="16" spans="1:4" x14ac:dyDescent="0.25">
      <c r="A16" s="15"/>
      <c r="B16" s="35"/>
    </row>
    <row r="17" spans="1:5" x14ac:dyDescent="0.25">
      <c r="A17" s="15" t="s">
        <v>122</v>
      </c>
      <c r="B17" s="35"/>
      <c r="C17" s="69"/>
    </row>
    <row r="18" spans="1:5" x14ac:dyDescent="0.25">
      <c r="A18" s="15" t="s">
        <v>123</v>
      </c>
      <c r="B18" s="36"/>
    </row>
    <row r="19" spans="1:5" x14ac:dyDescent="0.25">
      <c r="A19" s="15" t="s">
        <v>13</v>
      </c>
      <c r="B19" s="35"/>
      <c r="C19" s="69"/>
    </row>
    <row r="20" spans="1:5" x14ac:dyDescent="0.25">
      <c r="A20" s="150" t="s">
        <v>221</v>
      </c>
      <c r="B20" s="35"/>
      <c r="C20" s="69"/>
      <c r="D20" s="50" t="s">
        <v>222</v>
      </c>
    </row>
    <row r="21" spans="1:5" ht="66" x14ac:dyDescent="0.25">
      <c r="A21" s="150" t="s">
        <v>223</v>
      </c>
      <c r="B21" s="35"/>
      <c r="C21" s="69"/>
      <c r="D21" s="50" t="s">
        <v>222</v>
      </c>
    </row>
    <row r="22" spans="1:5" ht="26.4" x14ac:dyDescent="0.25">
      <c r="A22" s="150" t="s">
        <v>224</v>
      </c>
      <c r="B22" s="35"/>
      <c r="C22" s="69"/>
      <c r="D22" s="50" t="s">
        <v>222</v>
      </c>
    </row>
    <row r="23" spans="1:5" x14ac:dyDescent="0.25">
      <c r="A23" s="15"/>
      <c r="B23" s="35"/>
      <c r="C23" s="34"/>
    </row>
    <row r="24" spans="1:5" x14ac:dyDescent="0.25">
      <c r="A24" s="15"/>
      <c r="B24" s="35"/>
      <c r="C24" s="14"/>
      <c r="D24" t="s">
        <v>65</v>
      </c>
    </row>
    <row r="25" spans="1:5" x14ac:dyDescent="0.25">
      <c r="A25" s="15" t="s">
        <v>14</v>
      </c>
      <c r="B25" s="14" t="s">
        <v>339</v>
      </c>
      <c r="C25" s="37"/>
      <c r="D25" s="92"/>
    </row>
    <row r="26" spans="1:5" x14ac:dyDescent="0.25">
      <c r="B26" s="14" t="s">
        <v>340</v>
      </c>
      <c r="C26" s="34"/>
      <c r="D26" s="92"/>
    </row>
    <row r="27" spans="1:5" x14ac:dyDescent="0.25">
      <c r="B27" s="14" t="s">
        <v>341</v>
      </c>
      <c r="C27" s="34"/>
      <c r="D27" s="92"/>
    </row>
    <row r="28" spans="1:5" x14ac:dyDescent="0.25">
      <c r="B28" s="14" t="s">
        <v>107</v>
      </c>
      <c r="C28" s="34"/>
      <c r="D28" s="92"/>
    </row>
    <row r="29" spans="1:5" x14ac:dyDescent="0.25">
      <c r="B29" s="14" t="s">
        <v>108</v>
      </c>
      <c r="C29" s="34"/>
      <c r="D29" s="93"/>
    </row>
    <row r="30" spans="1:5" x14ac:dyDescent="0.25">
      <c r="B30" s="14" t="s">
        <v>153</v>
      </c>
      <c r="D30" s="73">
        <f>(D29-D25)/30.5</f>
        <v>0</v>
      </c>
      <c r="E30" s="94"/>
    </row>
    <row r="31" spans="1:5" ht="26.4" x14ac:dyDescent="0.25">
      <c r="B31" s="74" t="s">
        <v>154</v>
      </c>
      <c r="D31" s="73">
        <f>(D28-D25)/30.5</f>
        <v>0</v>
      </c>
    </row>
    <row r="32" spans="1:5" x14ac:dyDescent="0.25">
      <c r="B32" s="14" t="s">
        <v>119</v>
      </c>
      <c r="D32" s="98">
        <f>(D29-D25)/365</f>
        <v>0</v>
      </c>
    </row>
    <row r="33" spans="1:5" x14ac:dyDescent="0.25">
      <c r="B33" s="14" t="s">
        <v>194</v>
      </c>
      <c r="D33" s="73">
        <f>(D26-D25)/30.5</f>
        <v>0</v>
      </c>
    </row>
    <row r="34" spans="1:5" ht="26.4" x14ac:dyDescent="0.25">
      <c r="A34" s="15" t="s">
        <v>25</v>
      </c>
      <c r="B34" s="74" t="s">
        <v>118</v>
      </c>
      <c r="D34" s="69"/>
      <c r="E34" s="14"/>
    </row>
    <row r="35" spans="1:5" ht="26.4" x14ac:dyDescent="0.25">
      <c r="B35" s="74" t="s">
        <v>117</v>
      </c>
      <c r="D35" s="151">
        <f>(D31/3)-D34</f>
        <v>0</v>
      </c>
    </row>
    <row r="36" spans="1:5" x14ac:dyDescent="0.25">
      <c r="B36" s="74"/>
      <c r="D36" s="69"/>
    </row>
    <row r="38" spans="1:5" ht="26.4" x14ac:dyDescent="0.25">
      <c r="A38" s="74" t="s">
        <v>198</v>
      </c>
      <c r="D38" s="69"/>
    </row>
    <row r="42" spans="1:5" x14ac:dyDescent="0.25">
      <c r="A42" s="70" t="s">
        <v>113</v>
      </c>
    </row>
    <row r="45" spans="1:5" x14ac:dyDescent="0.25">
      <c r="B45" s="14"/>
    </row>
  </sheetData>
  <dataValidations disablePrompts="1" count="1">
    <dataValidation type="whole" allowBlank="1" showInputMessage="1" showErrorMessage="1" sqref="C13:C15" xr:uid="{00000000-0002-0000-0100-000000000000}">
      <formula1>0</formula1>
      <formula2>1000000</formula2>
    </dataValidation>
  </dataValidations>
  <printOptions gridLines="1"/>
  <pageMargins left="0.70866141732283472" right="0.70866141732283472" top="0.74803149606299213" bottom="0.74803149606299213" header="0.31496062992125984" footer="0.31496062992125984"/>
  <pageSetup paperSize="9" scale="74" orientation="landscape" r:id="rId1"/>
  <headerFooter>
    <oddFooter>&amp;L&amp;"Arial,Cursief"&amp;8&amp;F
Copyright © 2018 by KCE Trials. All rights reserved.&amp;C&amp;"Arial,Cursief"&amp;8Page &amp;P/&amp;N&amp;R&amp;"Arial,Cursief"&amp;8&amp;A
Budget tool BCC v5.1</oddFooter>
  </headerFooter>
  <legacyDrawing r:id="rId2"/>
  <extLst>
    <ext xmlns:x14="http://schemas.microsoft.com/office/spreadsheetml/2009/9/main" uri="{CCE6A557-97BC-4b89-ADB6-D9C93CAAB3DF}">
      <x14:dataValidations xmlns:xm="http://schemas.microsoft.com/office/excel/2006/main" disablePrompts="1" count="3">
        <x14:dataValidation type="list" allowBlank="1" showInputMessage="1" showErrorMessage="1" xr:uid="{00000000-0002-0000-0100-000001000000}">
          <x14:formula1>
            <xm:f>'drop down list'!$B$3:$B$4</xm:f>
          </x14:formula1>
          <xm:sqref>C22</xm:sqref>
        </x14:dataValidation>
        <x14:dataValidation type="list" allowBlank="1" showInputMessage="1" showErrorMessage="1" xr:uid="{00000000-0002-0000-0100-000002000000}">
          <x14:formula1>
            <xm:f>'drop down list'!$B$1:$B$2</xm:f>
          </x14:formula1>
          <xm:sqref>C20</xm:sqref>
        </x14:dataValidation>
        <x14:dataValidation type="list" allowBlank="1" showInputMessage="1" showErrorMessage="1" xr:uid="{00000000-0002-0000-0100-000003000000}">
          <x14:formula1>
            <xm:f>'drop down list'!$B$5:$B$6</xm:f>
          </x14:formula1>
          <xm:sqref>C21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6"/>
  <sheetViews>
    <sheetView workbookViewId="0">
      <selection activeCell="F41" sqref="F41"/>
    </sheetView>
  </sheetViews>
  <sheetFormatPr defaultRowHeight="13.2" x14ac:dyDescent="0.25"/>
  <sheetData>
    <row r="1" spans="1:2" x14ac:dyDescent="0.25">
      <c r="A1" s="14" t="s">
        <v>227</v>
      </c>
      <c r="B1" s="14" t="s">
        <v>225</v>
      </c>
    </row>
    <row r="2" spans="1:2" x14ac:dyDescent="0.25">
      <c r="A2" s="14" t="s">
        <v>227</v>
      </c>
      <c r="B2" s="14" t="s">
        <v>226</v>
      </c>
    </row>
    <row r="3" spans="1:2" x14ac:dyDescent="0.25">
      <c r="A3" s="14" t="s">
        <v>228</v>
      </c>
      <c r="B3" s="14" t="s">
        <v>225</v>
      </c>
    </row>
    <row r="4" spans="1:2" x14ac:dyDescent="0.25">
      <c r="A4" s="14" t="s">
        <v>228</v>
      </c>
      <c r="B4" s="14" t="s">
        <v>226</v>
      </c>
    </row>
    <row r="5" spans="1:2" x14ac:dyDescent="0.25">
      <c r="A5" s="14" t="s">
        <v>229</v>
      </c>
      <c r="B5" s="14" t="s">
        <v>225</v>
      </c>
    </row>
    <row r="6" spans="1:2" x14ac:dyDescent="0.25">
      <c r="A6" s="14" t="s">
        <v>229</v>
      </c>
      <c r="B6" s="14" t="s">
        <v>226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111"/>
  <sheetViews>
    <sheetView zoomScaleNormal="100" workbookViewId="0">
      <selection activeCell="D16" sqref="D16"/>
    </sheetView>
  </sheetViews>
  <sheetFormatPr defaultColWidth="8.77734375" defaultRowHeight="13.2" x14ac:dyDescent="0.25"/>
  <cols>
    <col min="1" max="1" width="31.21875" style="110" customWidth="1"/>
    <col min="2" max="2" width="16.44140625" style="110" customWidth="1"/>
    <col min="3" max="3" width="28.77734375" style="110" customWidth="1"/>
    <col min="4" max="4" width="33.77734375" style="110" customWidth="1"/>
    <col min="5" max="5" width="32" style="110" customWidth="1"/>
    <col min="6" max="6" width="33.5546875" style="110" customWidth="1"/>
    <col min="7" max="16384" width="8.77734375" style="110"/>
  </cols>
  <sheetData>
    <row r="1" spans="1:6" ht="16.2" thickBot="1" x14ac:dyDescent="0.35">
      <c r="A1" s="120" t="s">
        <v>22</v>
      </c>
      <c r="B1" s="119"/>
      <c r="C1" s="119" t="str">
        <f>'Study Parameters BCC'!B7</f>
        <v>KCE number</v>
      </c>
      <c r="D1" s="119"/>
      <c r="E1" s="125" t="str">
        <f>'Study Parameters BCC'!B11</f>
        <v>DD/MM/YYYY</v>
      </c>
      <c r="F1" s="125"/>
    </row>
    <row r="2" spans="1:6" ht="15.6" thickBot="1" x14ac:dyDescent="0.3">
      <c r="A2" s="124" t="s">
        <v>190</v>
      </c>
      <c r="B2" s="123"/>
      <c r="C2" s="123"/>
      <c r="D2" s="123"/>
      <c r="E2" s="122"/>
      <c r="F2" s="122"/>
    </row>
    <row r="3" spans="1:6" ht="16.2" thickBot="1" x14ac:dyDescent="0.35">
      <c r="A3" s="121" t="s">
        <v>47</v>
      </c>
      <c r="B3" s="120"/>
      <c r="C3" s="119"/>
      <c r="D3" s="119"/>
      <c r="E3" s="118"/>
      <c r="F3" s="118"/>
    </row>
    <row r="4" spans="1:6" x14ac:dyDescent="0.25">
      <c r="B4" s="115"/>
    </row>
    <row r="5" spans="1:6" x14ac:dyDescent="0.25">
      <c r="A5" s="115" t="s">
        <v>15</v>
      </c>
    </row>
    <row r="6" spans="1:6" ht="39.6" x14ac:dyDescent="0.25">
      <c r="A6" s="15" t="s">
        <v>16</v>
      </c>
      <c r="B6" s="150" t="s">
        <v>269</v>
      </c>
      <c r="C6" t="s">
        <v>270</v>
      </c>
      <c r="D6"/>
      <c r="E6"/>
      <c r="F6"/>
    </row>
    <row r="7" spans="1:6" x14ac:dyDescent="0.25">
      <c r="A7" s="14" t="s">
        <v>17</v>
      </c>
      <c r="B7" s="160">
        <v>52</v>
      </c>
      <c r="C7" s="160">
        <f>B7*$C$25</f>
        <v>56.284800000000004</v>
      </c>
      <c r="D7" s="14" t="s">
        <v>135</v>
      </c>
      <c r="E7"/>
      <c r="F7"/>
    </row>
    <row r="8" spans="1:6" x14ac:dyDescent="0.25">
      <c r="A8" s="14" t="s">
        <v>18</v>
      </c>
      <c r="B8" s="160">
        <v>52</v>
      </c>
      <c r="C8" s="160">
        <f t="shared" ref="C8:C19" si="0">B8*$C$25</f>
        <v>56.284800000000004</v>
      </c>
      <c r="D8" s="14" t="s">
        <v>136</v>
      </c>
      <c r="E8"/>
      <c r="F8"/>
    </row>
    <row r="9" spans="1:6" x14ac:dyDescent="0.25">
      <c r="A9" s="14" t="s">
        <v>84</v>
      </c>
      <c r="B9" s="160">
        <v>104</v>
      </c>
      <c r="C9" s="160">
        <f t="shared" si="0"/>
        <v>112.56960000000001</v>
      </c>
      <c r="D9" s="14" t="s">
        <v>137</v>
      </c>
      <c r="E9"/>
      <c r="F9"/>
    </row>
    <row r="10" spans="1:6" x14ac:dyDescent="0.25">
      <c r="A10" s="14" t="s">
        <v>128</v>
      </c>
      <c r="B10" s="160">
        <v>83.2</v>
      </c>
      <c r="C10" s="160">
        <f t="shared" si="0"/>
        <v>90.055680000000009</v>
      </c>
      <c r="D10" s="14" t="s">
        <v>138</v>
      </c>
      <c r="E10"/>
      <c r="F10"/>
    </row>
    <row r="11" spans="1:6" x14ac:dyDescent="0.25">
      <c r="A11" s="14" t="s">
        <v>48</v>
      </c>
      <c r="B11" s="160">
        <v>36.4</v>
      </c>
      <c r="C11" s="160">
        <f t="shared" si="0"/>
        <v>39.399360000000001</v>
      </c>
      <c r="D11" s="14" t="s">
        <v>139</v>
      </c>
      <c r="E11"/>
      <c r="F11"/>
    </row>
    <row r="12" spans="1:6" x14ac:dyDescent="0.25">
      <c r="A12" s="14" t="s">
        <v>37</v>
      </c>
      <c r="B12" s="160">
        <v>57.2</v>
      </c>
      <c r="C12" s="160">
        <f t="shared" si="0"/>
        <v>61.913280000000007</v>
      </c>
      <c r="D12" s="14" t="s">
        <v>37</v>
      </c>
      <c r="E12"/>
      <c r="F12"/>
    </row>
    <row r="13" spans="1:6" x14ac:dyDescent="0.25">
      <c r="A13" s="14" t="s">
        <v>87</v>
      </c>
      <c r="B13" s="160">
        <v>62.400000000000006</v>
      </c>
      <c r="C13" s="160">
        <f t="shared" si="0"/>
        <v>67.541760000000011</v>
      </c>
      <c r="D13" s="14" t="s">
        <v>140</v>
      </c>
      <c r="E13"/>
      <c r="F13"/>
    </row>
    <row r="14" spans="1:6" x14ac:dyDescent="0.25">
      <c r="A14" s="14" t="s">
        <v>86</v>
      </c>
      <c r="B14" s="160">
        <v>52</v>
      </c>
      <c r="C14" s="160">
        <f t="shared" si="0"/>
        <v>56.284800000000004</v>
      </c>
      <c r="D14" s="14" t="s">
        <v>141</v>
      </c>
      <c r="E14"/>
      <c r="F14"/>
    </row>
    <row r="15" spans="1:6" x14ac:dyDescent="0.25">
      <c r="A15" s="14" t="s">
        <v>120</v>
      </c>
      <c r="B15" s="160">
        <v>41.6</v>
      </c>
      <c r="C15" s="160">
        <v>50.19</v>
      </c>
      <c r="D15" s="14" t="s">
        <v>142</v>
      </c>
      <c r="E15"/>
      <c r="F15"/>
    </row>
    <row r="16" spans="1:6" x14ac:dyDescent="0.25">
      <c r="A16" s="14" t="s">
        <v>116</v>
      </c>
      <c r="B16" s="160">
        <v>62.400000000000006</v>
      </c>
      <c r="C16" s="160">
        <f t="shared" si="0"/>
        <v>67.541760000000011</v>
      </c>
      <c r="D16" s="14" t="s">
        <v>143</v>
      </c>
      <c r="E16"/>
      <c r="F16"/>
    </row>
    <row r="17" spans="1:6" x14ac:dyDescent="0.25">
      <c r="A17" s="14" t="s">
        <v>121</v>
      </c>
      <c r="B17" s="160">
        <v>104</v>
      </c>
      <c r="C17" s="160">
        <f t="shared" si="0"/>
        <v>112.56960000000001</v>
      </c>
      <c r="D17" s="14" t="s">
        <v>144</v>
      </c>
      <c r="E17"/>
      <c r="F17"/>
    </row>
    <row r="18" spans="1:6" x14ac:dyDescent="0.25">
      <c r="A18" s="14" t="s">
        <v>127</v>
      </c>
      <c r="B18" s="160">
        <v>62.400000000000006</v>
      </c>
      <c r="C18" s="160">
        <f t="shared" si="0"/>
        <v>67.541760000000011</v>
      </c>
      <c r="D18" s="14" t="s">
        <v>145</v>
      </c>
      <c r="E18"/>
      <c r="F18"/>
    </row>
    <row r="19" spans="1:6" x14ac:dyDescent="0.25">
      <c r="A19" s="14" t="s">
        <v>129</v>
      </c>
      <c r="B19" s="160">
        <v>83.2</v>
      </c>
      <c r="C19" s="160">
        <f t="shared" si="0"/>
        <v>90.055680000000009</v>
      </c>
      <c r="D19" s="14" t="s">
        <v>146</v>
      </c>
      <c r="E19"/>
      <c r="F19"/>
    </row>
    <row r="20" spans="1:6" x14ac:dyDescent="0.25">
      <c r="A20" s="107" t="s">
        <v>115</v>
      </c>
      <c r="B20" s="117"/>
      <c r="C20"/>
      <c r="D20"/>
      <c r="E20"/>
      <c r="F20"/>
    </row>
    <row r="21" spans="1:6" x14ac:dyDescent="0.25">
      <c r="A21" s="15" t="s">
        <v>21</v>
      </c>
      <c r="B21"/>
      <c r="C21"/>
      <c r="D21"/>
      <c r="E21"/>
      <c r="F21"/>
    </row>
    <row r="22" spans="1:6" x14ac:dyDescent="0.25">
      <c r="A22" s="14" t="s">
        <v>88</v>
      </c>
      <c r="B22"/>
      <c r="C22" s="116">
        <v>0.1</v>
      </c>
      <c r="D22"/>
      <c r="E22"/>
      <c r="F22"/>
    </row>
    <row r="23" spans="1:6" x14ac:dyDescent="0.25">
      <c r="A23" s="14" t="s">
        <v>19</v>
      </c>
      <c r="B23"/>
      <c r="C23" s="116">
        <v>0.17</v>
      </c>
      <c r="D23"/>
      <c r="E23"/>
      <c r="F23"/>
    </row>
    <row r="24" spans="1:6" x14ac:dyDescent="0.25">
      <c r="A24" s="14" t="s">
        <v>20</v>
      </c>
      <c r="B24"/>
      <c r="C24" s="116">
        <v>0.21</v>
      </c>
      <c r="D24"/>
      <c r="E24"/>
      <c r="F24"/>
    </row>
    <row r="25" spans="1:6" x14ac:dyDescent="0.25">
      <c r="A25" s="14" t="s">
        <v>271</v>
      </c>
      <c r="B25"/>
      <c r="C25" s="161">
        <v>1.0824</v>
      </c>
      <c r="D25"/>
      <c r="E25"/>
      <c r="F25"/>
    </row>
    <row r="26" spans="1:6" x14ac:dyDescent="0.25">
      <c r="A26" s="14"/>
      <c r="B26"/>
      <c r="C26" s="161"/>
      <c r="D26"/>
      <c r="E26"/>
      <c r="F26"/>
    </row>
    <row r="27" spans="1:6" x14ac:dyDescent="0.25">
      <c r="A27" s="14"/>
      <c r="B27" s="14" t="s">
        <v>272</v>
      </c>
      <c r="C27" s="162" t="s">
        <v>270</v>
      </c>
      <c r="D27"/>
      <c r="E27"/>
      <c r="F27"/>
    </row>
    <row r="28" spans="1:6" ht="45" customHeight="1" x14ac:dyDescent="0.25">
      <c r="A28" s="14" t="s">
        <v>273</v>
      </c>
      <c r="B28" s="160">
        <v>1040</v>
      </c>
      <c r="C28" s="160">
        <f>B28*$C$25</f>
        <v>1125.6960000000001</v>
      </c>
      <c r="D28" s="14" t="s">
        <v>130</v>
      </c>
      <c r="E28" s="180" t="s">
        <v>274</v>
      </c>
      <c r="F28" s="180"/>
    </row>
    <row r="29" spans="1:6" ht="45" customHeight="1" x14ac:dyDescent="0.25">
      <c r="A29" t="s">
        <v>39</v>
      </c>
      <c r="B29" s="160">
        <v>260</v>
      </c>
      <c r="C29" s="160">
        <f>B29*$C$25</f>
        <v>281.42400000000004</v>
      </c>
      <c r="D29" t="s">
        <v>197</v>
      </c>
      <c r="E29" s="181" t="s">
        <v>275</v>
      </c>
      <c r="F29" s="181"/>
    </row>
    <row r="30" spans="1:6" ht="45" customHeight="1" x14ac:dyDescent="0.25">
      <c r="A30" s="14" t="s">
        <v>189</v>
      </c>
      <c r="B30" s="160">
        <v>68</v>
      </c>
      <c r="C30" s="160">
        <f>B30*$C$25</f>
        <v>73.603200000000001</v>
      </c>
      <c r="D30"/>
      <c r="E30" s="180" t="s">
        <v>188</v>
      </c>
      <c r="F30" s="180"/>
    </row>
    <row r="32" spans="1:6" ht="29.55" customHeight="1" x14ac:dyDescent="0.3">
      <c r="A32" s="187" t="s">
        <v>187</v>
      </c>
      <c r="B32" s="188"/>
    </row>
    <row r="33" spans="1:8" ht="15.6" x14ac:dyDescent="0.3">
      <c r="A33" s="159"/>
      <c r="B33" s="159"/>
    </row>
    <row r="34" spans="1:8" x14ac:dyDescent="0.25">
      <c r="A34" s="110" t="s">
        <v>185</v>
      </c>
      <c r="B34" s="111">
        <v>0.01</v>
      </c>
      <c r="C34" s="110" t="s">
        <v>130</v>
      </c>
    </row>
    <row r="35" spans="1:8" ht="39.75" customHeight="1" x14ac:dyDescent="0.25">
      <c r="A35" s="110" t="s">
        <v>251</v>
      </c>
      <c r="D35" s="113" t="s">
        <v>191</v>
      </c>
      <c r="E35" s="113" t="s">
        <v>192</v>
      </c>
      <c r="F35" s="113"/>
    </row>
    <row r="36" spans="1:8" ht="27" customHeight="1" x14ac:dyDescent="0.25">
      <c r="A36" s="189" t="s">
        <v>186</v>
      </c>
      <c r="B36" s="189"/>
      <c r="D36" s="112">
        <f>0.1+(5*B34)</f>
        <v>0.15000000000000002</v>
      </c>
      <c r="E36" s="112">
        <f>0.1+(10*B34)</f>
        <v>0.2</v>
      </c>
      <c r="F36" s="112"/>
    </row>
    <row r="37" spans="1:8" ht="25.5" customHeight="1" x14ac:dyDescent="0.25">
      <c r="A37" s="189"/>
      <c r="B37" s="189"/>
    </row>
    <row r="38" spans="1:8" ht="12.75" customHeight="1" x14ac:dyDescent="0.25">
      <c r="C38" s="111"/>
      <c r="D38" s="112"/>
    </row>
    <row r="39" spans="1:8" ht="12.6" customHeight="1" x14ac:dyDescent="0.25">
      <c r="A39" s="189" t="s">
        <v>184</v>
      </c>
      <c r="B39" s="189"/>
      <c r="H39" s="111"/>
    </row>
    <row r="40" spans="1:8" x14ac:dyDescent="0.25">
      <c r="A40" s="189"/>
      <c r="B40" s="189"/>
    </row>
    <row r="41" spans="1:8" ht="15.6" customHeight="1" x14ac:dyDescent="0.25">
      <c r="A41" s="180"/>
      <c r="B41" s="180"/>
      <c r="C41" s="177" t="s">
        <v>272</v>
      </c>
      <c r="D41" s="177"/>
      <c r="E41" s="178" t="s">
        <v>276</v>
      </c>
      <c r="F41" s="178"/>
    </row>
    <row r="42" spans="1:8" ht="41.25" customHeight="1" x14ac:dyDescent="0.3">
      <c r="A42" s="185" t="s">
        <v>277</v>
      </c>
      <c r="B42" s="186"/>
      <c r="C42" s="163" t="s">
        <v>183</v>
      </c>
      <c r="D42" s="163" t="s">
        <v>182</v>
      </c>
      <c r="E42" s="163" t="s">
        <v>183</v>
      </c>
      <c r="F42" s="163" t="s">
        <v>182</v>
      </c>
    </row>
    <row r="43" spans="1:8" ht="13.05" customHeight="1" x14ac:dyDescent="0.3">
      <c r="A43" s="182" t="s">
        <v>181</v>
      </c>
      <c r="B43" s="183"/>
      <c r="C43" s="164">
        <f>364</f>
        <v>364</v>
      </c>
      <c r="D43" s="164">
        <v>520</v>
      </c>
      <c r="E43" s="164">
        <f>C43*$C$25</f>
        <v>393.99360000000001</v>
      </c>
      <c r="F43" s="164">
        <f>D43*$C$25</f>
        <v>562.84800000000007</v>
      </c>
    </row>
    <row r="44" spans="1:8" ht="50.1" customHeight="1" x14ac:dyDescent="0.3">
      <c r="A44" s="182" t="s">
        <v>180</v>
      </c>
      <c r="B44" s="183"/>
      <c r="C44" s="164">
        <v>208</v>
      </c>
      <c r="D44" s="164">
        <v>312</v>
      </c>
      <c r="E44" s="164">
        <f t="shared" ref="E44:F57" si="1">C44*$C$25</f>
        <v>225.13920000000002</v>
      </c>
      <c r="F44" s="164">
        <f t="shared" si="1"/>
        <v>337.7088</v>
      </c>
    </row>
    <row r="45" spans="1:8" ht="33" customHeight="1" x14ac:dyDescent="0.3">
      <c r="A45" s="182" t="s">
        <v>179</v>
      </c>
      <c r="B45" s="183"/>
      <c r="C45" s="164">
        <v>0</v>
      </c>
      <c r="D45" s="164">
        <v>68</v>
      </c>
      <c r="E45" s="164">
        <f t="shared" si="1"/>
        <v>0</v>
      </c>
      <c r="F45" s="164">
        <f t="shared" si="1"/>
        <v>73.603200000000001</v>
      </c>
    </row>
    <row r="46" spans="1:8" ht="51.75" customHeight="1" x14ac:dyDescent="0.3">
      <c r="A46" s="182" t="s">
        <v>178</v>
      </c>
      <c r="B46" s="183"/>
      <c r="C46" s="164">
        <v>52</v>
      </c>
      <c r="D46" s="164">
        <v>52</v>
      </c>
      <c r="E46" s="164">
        <f t="shared" si="1"/>
        <v>56.284800000000004</v>
      </c>
      <c r="F46" s="164">
        <f t="shared" si="1"/>
        <v>56.284800000000004</v>
      </c>
    </row>
    <row r="47" spans="1:8" ht="38.25" customHeight="1" x14ac:dyDescent="0.3">
      <c r="A47" s="182" t="s">
        <v>177</v>
      </c>
      <c r="B47" s="183"/>
      <c r="C47" s="164"/>
      <c r="D47" s="164" t="s">
        <v>176</v>
      </c>
      <c r="E47" s="164"/>
      <c r="F47" s="164" t="s">
        <v>176</v>
      </c>
    </row>
    <row r="48" spans="1:8" ht="13.05" customHeight="1" x14ac:dyDescent="0.3">
      <c r="A48" s="182" t="s">
        <v>175</v>
      </c>
      <c r="B48" s="183"/>
      <c r="C48" s="164">
        <v>0</v>
      </c>
      <c r="D48" s="164">
        <v>16</v>
      </c>
      <c r="E48" s="164">
        <f t="shared" si="1"/>
        <v>0</v>
      </c>
      <c r="F48" s="164">
        <f t="shared" si="1"/>
        <v>17.3184</v>
      </c>
    </row>
    <row r="49" spans="1:6" ht="13.05" customHeight="1" x14ac:dyDescent="0.3">
      <c r="A49" s="182" t="s">
        <v>174</v>
      </c>
      <c r="B49" s="183"/>
      <c r="C49" s="164">
        <v>0</v>
      </c>
      <c r="D49" s="164">
        <v>21</v>
      </c>
      <c r="E49" s="164">
        <f t="shared" si="1"/>
        <v>0</v>
      </c>
      <c r="F49" s="164">
        <f t="shared" si="1"/>
        <v>22.730399999999999</v>
      </c>
    </row>
    <row r="50" spans="1:6" ht="25.5" customHeight="1" x14ac:dyDescent="0.3">
      <c r="A50" s="182" t="s">
        <v>173</v>
      </c>
      <c r="B50" s="183"/>
      <c r="C50" s="164">
        <v>104</v>
      </c>
      <c r="D50" s="164">
        <v>104</v>
      </c>
      <c r="E50" s="164">
        <f t="shared" si="1"/>
        <v>112.56960000000001</v>
      </c>
      <c r="F50" s="164">
        <f t="shared" si="1"/>
        <v>112.56960000000001</v>
      </c>
    </row>
    <row r="51" spans="1:6" ht="25.5" customHeight="1" x14ac:dyDescent="0.25">
      <c r="A51" s="184"/>
      <c r="B51" s="184"/>
      <c r="C51"/>
      <c r="D51"/>
      <c r="E51"/>
      <c r="F51"/>
    </row>
    <row r="52" spans="1:6" ht="25.5" customHeight="1" x14ac:dyDescent="0.3">
      <c r="A52" s="185" t="s">
        <v>278</v>
      </c>
      <c r="B52" s="186"/>
      <c r="C52" s="165" t="s">
        <v>172</v>
      </c>
      <c r="D52"/>
      <c r="E52"/>
      <c r="F52"/>
    </row>
    <row r="53" spans="1:6" ht="13.05" customHeight="1" x14ac:dyDescent="0.3">
      <c r="A53" s="182" t="s">
        <v>181</v>
      </c>
      <c r="B53" s="183"/>
      <c r="C53" s="164">
        <v>364</v>
      </c>
      <c r="D53"/>
      <c r="E53" s="164">
        <f t="shared" si="1"/>
        <v>393.99360000000001</v>
      </c>
      <c r="F53"/>
    </row>
    <row r="54" spans="1:6" ht="45.6" customHeight="1" x14ac:dyDescent="0.3">
      <c r="A54" s="182" t="s">
        <v>171</v>
      </c>
      <c r="B54" s="183"/>
      <c r="C54" s="164">
        <v>21</v>
      </c>
      <c r="D54"/>
      <c r="E54" s="164">
        <f t="shared" si="1"/>
        <v>22.730399999999999</v>
      </c>
      <c r="F54"/>
    </row>
    <row r="55" spans="1:6" ht="28.5" customHeight="1" x14ac:dyDescent="0.3">
      <c r="A55" s="182" t="s">
        <v>170</v>
      </c>
      <c r="B55" s="183"/>
      <c r="C55" s="164">
        <v>32</v>
      </c>
      <c r="D55"/>
      <c r="E55" s="164">
        <f t="shared" si="1"/>
        <v>34.636800000000001</v>
      </c>
      <c r="F55"/>
    </row>
    <row r="56" spans="1:6" ht="50.55" customHeight="1" x14ac:dyDescent="0.3">
      <c r="A56" s="182" t="s">
        <v>169</v>
      </c>
      <c r="B56" s="183"/>
      <c r="C56" s="164">
        <v>78</v>
      </c>
      <c r="D56"/>
      <c r="E56" s="164">
        <f t="shared" si="1"/>
        <v>84.427199999999999</v>
      </c>
      <c r="F56"/>
    </row>
    <row r="57" spans="1:6" ht="25.5" customHeight="1" x14ac:dyDescent="0.3">
      <c r="A57" s="182" t="s">
        <v>168</v>
      </c>
      <c r="B57" s="183"/>
      <c r="C57" s="164">
        <v>26</v>
      </c>
      <c r="D57"/>
      <c r="E57" s="164">
        <f t="shared" si="1"/>
        <v>28.142400000000002</v>
      </c>
      <c r="F57"/>
    </row>
    <row r="58" spans="1:6" ht="22.5" customHeight="1" x14ac:dyDescent="0.25">
      <c r="A58" s="184"/>
      <c r="B58" s="184"/>
      <c r="C58"/>
      <c r="D58"/>
      <c r="E58"/>
      <c r="F58"/>
    </row>
    <row r="59" spans="1:6" ht="25.5" customHeight="1" x14ac:dyDescent="0.25">
      <c r="A59" s="179"/>
      <c r="B59" s="179"/>
      <c r="C59"/>
      <c r="D59"/>
      <c r="E59"/>
      <c r="F59"/>
    </row>
    <row r="60" spans="1:6" ht="13.05" customHeight="1" x14ac:dyDescent="0.25">
      <c r="A60" s="178" t="s">
        <v>279</v>
      </c>
      <c r="B60" s="179"/>
      <c r="C60"/>
      <c r="D60"/>
      <c r="E60"/>
      <c r="F60"/>
    </row>
    <row r="61" spans="1:6" ht="21" x14ac:dyDescent="0.25">
      <c r="A61"/>
      <c r="B61" s="88" t="s">
        <v>280</v>
      </c>
      <c r="C61" s="88" t="s">
        <v>281</v>
      </c>
      <c r="D61"/>
      <c r="E61"/>
      <c r="F61"/>
    </row>
    <row r="62" spans="1:6" x14ac:dyDescent="0.25">
      <c r="A62" s="88" t="s">
        <v>282</v>
      </c>
      <c r="B62" s="166">
        <v>25000</v>
      </c>
      <c r="C62" s="166">
        <f>B62*$C$25</f>
        <v>27060</v>
      </c>
      <c r="D62"/>
      <c r="E62"/>
      <c r="F62"/>
    </row>
    <row r="63" spans="1:6" x14ac:dyDescent="0.25">
      <c r="A63" s="88" t="s">
        <v>283</v>
      </c>
      <c r="B63" s="166">
        <v>40000</v>
      </c>
      <c r="C63" s="166">
        <f t="shared" ref="C63:C111" si="2">B63*$C$25</f>
        <v>43296</v>
      </c>
      <c r="D63"/>
      <c r="E63"/>
      <c r="F63"/>
    </row>
    <row r="64" spans="1:6" x14ac:dyDescent="0.25">
      <c r="A64" s="88" t="s">
        <v>284</v>
      </c>
      <c r="B64" s="166">
        <v>50000</v>
      </c>
      <c r="C64" s="166">
        <f t="shared" si="2"/>
        <v>54120</v>
      </c>
      <c r="D64"/>
      <c r="E64"/>
      <c r="F64"/>
    </row>
    <row r="65" spans="1:6" x14ac:dyDescent="0.25">
      <c r="A65" s="88" t="s">
        <v>285</v>
      </c>
      <c r="B65" s="166">
        <v>60000</v>
      </c>
      <c r="C65" s="166">
        <f t="shared" si="2"/>
        <v>64944</v>
      </c>
      <c r="D65"/>
      <c r="E65"/>
      <c r="F65"/>
    </row>
    <row r="66" spans="1:6" ht="21" x14ac:dyDescent="0.25">
      <c r="A66" s="88" t="s">
        <v>286</v>
      </c>
      <c r="B66" s="166">
        <v>1040</v>
      </c>
      <c r="C66" s="166">
        <f t="shared" si="2"/>
        <v>1125.6960000000001</v>
      </c>
      <c r="D66"/>
      <c r="E66"/>
      <c r="F66"/>
    </row>
    <row r="67" spans="1:6" ht="31.2" x14ac:dyDescent="0.25">
      <c r="A67" s="88" t="s">
        <v>287</v>
      </c>
      <c r="B67" s="166">
        <v>780</v>
      </c>
      <c r="C67" s="166">
        <f t="shared" si="2"/>
        <v>844.27200000000005</v>
      </c>
      <c r="D67"/>
      <c r="E67"/>
      <c r="F67"/>
    </row>
    <row r="68" spans="1:6" ht="21" x14ac:dyDescent="0.25">
      <c r="A68" s="88" t="s">
        <v>288</v>
      </c>
      <c r="B68" s="166">
        <v>260</v>
      </c>
      <c r="C68" s="166">
        <f t="shared" si="2"/>
        <v>281.42400000000004</v>
      </c>
      <c r="D68"/>
      <c r="E68"/>
      <c r="F68"/>
    </row>
    <row r="69" spans="1:6" ht="31.2" x14ac:dyDescent="0.25">
      <c r="A69" s="88" t="s">
        <v>289</v>
      </c>
      <c r="B69" s="166">
        <v>156</v>
      </c>
      <c r="C69" s="166">
        <f t="shared" si="2"/>
        <v>168.8544</v>
      </c>
      <c r="D69"/>
      <c r="E69"/>
      <c r="F69"/>
    </row>
    <row r="70" spans="1:6" ht="31.2" x14ac:dyDescent="0.25">
      <c r="A70" s="88" t="s">
        <v>290</v>
      </c>
      <c r="B70" s="166">
        <v>1040</v>
      </c>
      <c r="C70" s="166">
        <f t="shared" si="2"/>
        <v>1125.6960000000001</v>
      </c>
      <c r="D70"/>
      <c r="E70"/>
      <c r="F70"/>
    </row>
    <row r="71" spans="1:6" ht="31.2" x14ac:dyDescent="0.25">
      <c r="A71" s="88" t="s">
        <v>291</v>
      </c>
      <c r="B71" s="166">
        <v>520</v>
      </c>
      <c r="C71" s="166">
        <f t="shared" si="2"/>
        <v>562.84800000000007</v>
      </c>
      <c r="D71"/>
      <c r="E71"/>
      <c r="F71"/>
    </row>
    <row r="72" spans="1:6" ht="21" x14ac:dyDescent="0.25">
      <c r="A72" s="88" t="s">
        <v>292</v>
      </c>
      <c r="B72" s="166">
        <v>208</v>
      </c>
      <c r="C72" s="166">
        <f t="shared" si="2"/>
        <v>225.13920000000002</v>
      </c>
      <c r="D72"/>
      <c r="E72"/>
      <c r="F72"/>
    </row>
    <row r="73" spans="1:6" ht="21" x14ac:dyDescent="0.25">
      <c r="A73" s="88" t="s">
        <v>293</v>
      </c>
      <c r="B73" s="166">
        <v>6240</v>
      </c>
      <c r="C73" s="166">
        <f t="shared" si="2"/>
        <v>6754.1760000000004</v>
      </c>
      <c r="D73"/>
      <c r="E73"/>
      <c r="F73"/>
    </row>
    <row r="74" spans="1:6" ht="21" x14ac:dyDescent="0.25">
      <c r="A74" s="88" t="s">
        <v>294</v>
      </c>
      <c r="B74" s="166">
        <v>5200</v>
      </c>
      <c r="C74" s="166">
        <f t="shared" si="2"/>
        <v>5628.4800000000005</v>
      </c>
      <c r="D74"/>
      <c r="E74"/>
      <c r="F74"/>
    </row>
    <row r="75" spans="1:6" ht="21" x14ac:dyDescent="0.25">
      <c r="A75" s="88" t="s">
        <v>295</v>
      </c>
      <c r="B75" s="166">
        <v>4160</v>
      </c>
      <c r="C75" s="166">
        <f t="shared" si="2"/>
        <v>4502.7840000000006</v>
      </c>
      <c r="D75"/>
      <c r="E75"/>
      <c r="F75"/>
    </row>
    <row r="76" spans="1:6" ht="21" x14ac:dyDescent="0.25">
      <c r="A76" s="88" t="s">
        <v>296</v>
      </c>
      <c r="B76" s="166">
        <v>2080</v>
      </c>
      <c r="C76" s="166">
        <f t="shared" si="2"/>
        <v>2251.3920000000003</v>
      </c>
      <c r="D76"/>
      <c r="E76"/>
      <c r="F76"/>
    </row>
    <row r="77" spans="1:6" ht="21" x14ac:dyDescent="0.25">
      <c r="A77" s="88" t="s">
        <v>297</v>
      </c>
      <c r="B77" s="166">
        <v>520</v>
      </c>
      <c r="C77" s="166">
        <f t="shared" si="2"/>
        <v>562.84800000000007</v>
      </c>
      <c r="D77"/>
      <c r="E77"/>
      <c r="F77"/>
    </row>
    <row r="78" spans="1:6" x14ac:dyDescent="0.25">
      <c r="A78" s="88" t="s">
        <v>298</v>
      </c>
      <c r="B78" s="166">
        <v>260</v>
      </c>
      <c r="C78" s="166">
        <f t="shared" si="2"/>
        <v>281.42400000000004</v>
      </c>
      <c r="D78"/>
      <c r="E78"/>
      <c r="F78"/>
    </row>
    <row r="79" spans="1:6" x14ac:dyDescent="0.25">
      <c r="A79" s="88" t="s">
        <v>299</v>
      </c>
      <c r="B79" s="166">
        <v>104</v>
      </c>
      <c r="C79" s="166">
        <f t="shared" si="2"/>
        <v>112.56960000000001</v>
      </c>
      <c r="D79"/>
      <c r="E79"/>
      <c r="F79"/>
    </row>
    <row r="80" spans="1:6" x14ac:dyDescent="0.25">
      <c r="A80" s="88" t="s">
        <v>300</v>
      </c>
      <c r="B80" s="166">
        <v>1040</v>
      </c>
      <c r="C80" s="166">
        <f t="shared" si="2"/>
        <v>1125.6960000000001</v>
      </c>
      <c r="D80"/>
      <c r="E80"/>
      <c r="F80"/>
    </row>
    <row r="81" spans="1:6" x14ac:dyDescent="0.25">
      <c r="A81" s="88" t="s">
        <v>301</v>
      </c>
      <c r="B81" s="166">
        <v>10000</v>
      </c>
      <c r="C81" s="166">
        <f t="shared" si="2"/>
        <v>10824</v>
      </c>
      <c r="D81"/>
      <c r="E81"/>
      <c r="F81"/>
    </row>
    <row r="82" spans="1:6" x14ac:dyDescent="0.25">
      <c r="A82" s="88" t="s">
        <v>302</v>
      </c>
      <c r="B82" s="166">
        <v>5000</v>
      </c>
      <c r="C82" s="166">
        <f t="shared" si="2"/>
        <v>5412</v>
      </c>
      <c r="D82"/>
      <c r="E82"/>
      <c r="F82"/>
    </row>
    <row r="83" spans="1:6" x14ac:dyDescent="0.25">
      <c r="A83" s="88" t="s">
        <v>303</v>
      </c>
      <c r="B83" s="166">
        <v>5000</v>
      </c>
      <c r="C83" s="166">
        <f t="shared" si="2"/>
        <v>5412</v>
      </c>
      <c r="D83"/>
      <c r="E83"/>
      <c r="F83"/>
    </row>
    <row r="84" spans="1:6" x14ac:dyDescent="0.25">
      <c r="A84" s="88" t="s">
        <v>304</v>
      </c>
      <c r="B84" s="166">
        <v>2500</v>
      </c>
      <c r="C84" s="166">
        <f t="shared" si="2"/>
        <v>2706</v>
      </c>
      <c r="D84"/>
      <c r="E84"/>
      <c r="F84"/>
    </row>
    <row r="85" spans="1:6" x14ac:dyDescent="0.25">
      <c r="A85" s="88" t="s">
        <v>305</v>
      </c>
      <c r="B85" s="166">
        <v>2500</v>
      </c>
      <c r="C85" s="166">
        <f t="shared" si="2"/>
        <v>2706</v>
      </c>
      <c r="D85"/>
      <c r="E85"/>
      <c r="F85"/>
    </row>
    <row r="86" spans="1:6" x14ac:dyDescent="0.25">
      <c r="A86" s="88"/>
      <c r="B86" s="166"/>
      <c r="C86" s="166">
        <f t="shared" si="2"/>
        <v>0</v>
      </c>
      <c r="D86"/>
      <c r="E86"/>
      <c r="F86"/>
    </row>
    <row r="87" spans="1:6" x14ac:dyDescent="0.25">
      <c r="A87" s="88" t="s">
        <v>306</v>
      </c>
      <c r="B87" s="166">
        <v>2080</v>
      </c>
      <c r="C87" s="166">
        <f t="shared" si="2"/>
        <v>2251.3920000000003</v>
      </c>
      <c r="D87"/>
      <c r="E87"/>
      <c r="F87"/>
    </row>
    <row r="88" spans="1:6" x14ac:dyDescent="0.25">
      <c r="A88" s="88"/>
      <c r="B88" s="166"/>
      <c r="C88" s="166">
        <f t="shared" si="2"/>
        <v>0</v>
      </c>
      <c r="D88"/>
      <c r="E88"/>
      <c r="F88"/>
    </row>
    <row r="89" spans="1:6" x14ac:dyDescent="0.25">
      <c r="A89" s="88" t="s">
        <v>307</v>
      </c>
      <c r="B89" s="166">
        <v>416</v>
      </c>
      <c r="C89" s="166">
        <f t="shared" si="2"/>
        <v>450.27840000000003</v>
      </c>
      <c r="D89"/>
      <c r="E89"/>
      <c r="F89"/>
    </row>
    <row r="90" spans="1:6" x14ac:dyDescent="0.25">
      <c r="A90" s="88" t="s">
        <v>308</v>
      </c>
      <c r="B90" s="166">
        <v>2600</v>
      </c>
      <c r="C90" s="166">
        <f t="shared" si="2"/>
        <v>2814.2400000000002</v>
      </c>
      <c r="D90"/>
      <c r="E90"/>
      <c r="F90"/>
    </row>
    <row r="91" spans="1:6" x14ac:dyDescent="0.25">
      <c r="A91"/>
      <c r="B91" s="166"/>
      <c r="C91" s="166">
        <f t="shared" si="2"/>
        <v>0</v>
      </c>
      <c r="D91"/>
      <c r="E91"/>
      <c r="F91"/>
    </row>
    <row r="92" spans="1:6" x14ac:dyDescent="0.25">
      <c r="A92" s="167" t="s">
        <v>309</v>
      </c>
      <c r="B92" s="166">
        <v>25000</v>
      </c>
      <c r="C92" s="166">
        <f t="shared" si="2"/>
        <v>27060</v>
      </c>
      <c r="D92"/>
      <c r="E92"/>
      <c r="F92"/>
    </row>
    <row r="93" spans="1:6" x14ac:dyDescent="0.25">
      <c r="A93" s="167" t="s">
        <v>310</v>
      </c>
      <c r="B93" s="166">
        <v>50000</v>
      </c>
      <c r="C93" s="166">
        <f t="shared" si="2"/>
        <v>54120</v>
      </c>
      <c r="D93"/>
      <c r="E93"/>
      <c r="F93"/>
    </row>
    <row r="94" spans="1:6" x14ac:dyDescent="0.25">
      <c r="A94" s="167" t="s">
        <v>311</v>
      </c>
      <c r="B94" s="166">
        <v>75000</v>
      </c>
      <c r="C94" s="166">
        <f t="shared" si="2"/>
        <v>81180</v>
      </c>
      <c r="D94"/>
      <c r="E94"/>
      <c r="F94"/>
    </row>
    <row r="95" spans="1:6" ht="21" x14ac:dyDescent="0.25">
      <c r="A95" s="167" t="s">
        <v>312</v>
      </c>
      <c r="B95" s="166">
        <v>5000</v>
      </c>
      <c r="C95" s="166">
        <f t="shared" si="2"/>
        <v>5412</v>
      </c>
      <c r="D95"/>
      <c r="E95"/>
      <c r="F95"/>
    </row>
    <row r="96" spans="1:6" x14ac:dyDescent="0.25">
      <c r="A96" s="167" t="s">
        <v>313</v>
      </c>
      <c r="B96" s="166">
        <v>2000</v>
      </c>
      <c r="C96" s="166">
        <f t="shared" si="2"/>
        <v>2164.8000000000002</v>
      </c>
      <c r="D96"/>
      <c r="E96"/>
      <c r="F96"/>
    </row>
    <row r="97" spans="1:6" x14ac:dyDescent="0.25">
      <c r="A97" s="167" t="s">
        <v>314</v>
      </c>
      <c r="B97" s="166">
        <v>26000</v>
      </c>
      <c r="C97" s="166">
        <f t="shared" si="2"/>
        <v>28142.400000000001</v>
      </c>
      <c r="D97"/>
      <c r="E97"/>
      <c r="F97"/>
    </row>
    <row r="98" spans="1:6" ht="21" x14ac:dyDescent="0.25">
      <c r="A98" s="88" t="s">
        <v>315</v>
      </c>
      <c r="B98" s="166">
        <v>10400</v>
      </c>
      <c r="C98" s="166">
        <f t="shared" si="2"/>
        <v>11256.960000000001</v>
      </c>
      <c r="D98"/>
      <c r="E98"/>
      <c r="F98"/>
    </row>
    <row r="99" spans="1:6" ht="31.2" x14ac:dyDescent="0.25">
      <c r="A99" s="88" t="s">
        <v>316</v>
      </c>
      <c r="B99" s="166">
        <v>31200</v>
      </c>
      <c r="C99" s="166">
        <f t="shared" si="2"/>
        <v>33770.879999999997</v>
      </c>
      <c r="D99"/>
      <c r="E99"/>
      <c r="F99"/>
    </row>
    <row r="100" spans="1:6" ht="31.2" x14ac:dyDescent="0.25">
      <c r="A100" s="88" t="s">
        <v>317</v>
      </c>
      <c r="B100" s="166">
        <v>15600</v>
      </c>
      <c r="C100" s="166">
        <f t="shared" si="2"/>
        <v>16885.439999999999</v>
      </c>
      <c r="D100"/>
      <c r="E100"/>
      <c r="F100"/>
    </row>
    <row r="101" spans="1:6" ht="21" x14ac:dyDescent="0.25">
      <c r="A101" s="88" t="s">
        <v>318</v>
      </c>
      <c r="B101" s="166">
        <v>10400</v>
      </c>
      <c r="C101" s="166">
        <f t="shared" si="2"/>
        <v>11256.960000000001</v>
      </c>
      <c r="D101"/>
      <c r="E101"/>
      <c r="F101"/>
    </row>
    <row r="102" spans="1:6" x14ac:dyDescent="0.25">
      <c r="A102" s="6" t="s">
        <v>319</v>
      </c>
      <c r="B102" s="166">
        <v>10400</v>
      </c>
      <c r="C102" s="166">
        <f t="shared" si="2"/>
        <v>11256.960000000001</v>
      </c>
      <c r="D102"/>
      <c r="E102"/>
      <c r="F102"/>
    </row>
    <row r="103" spans="1:6" x14ac:dyDescent="0.25">
      <c r="A103" s="6" t="s">
        <v>320</v>
      </c>
      <c r="B103" s="166">
        <v>2000</v>
      </c>
      <c r="C103" s="166">
        <f t="shared" si="2"/>
        <v>2164.8000000000002</v>
      </c>
      <c r="D103"/>
      <c r="E103"/>
      <c r="F103"/>
    </row>
    <row r="104" spans="1:6" x14ac:dyDescent="0.25">
      <c r="A104" s="168" t="s">
        <v>321</v>
      </c>
      <c r="B104" s="166">
        <v>260</v>
      </c>
      <c r="C104" s="166">
        <f t="shared" si="2"/>
        <v>281.42400000000004</v>
      </c>
      <c r="D104"/>
      <c r="E104"/>
      <c r="F104"/>
    </row>
    <row r="105" spans="1:6" x14ac:dyDescent="0.25">
      <c r="A105" s="168" t="s">
        <v>322</v>
      </c>
      <c r="B105" s="166">
        <v>3640</v>
      </c>
      <c r="C105" s="166">
        <f t="shared" si="2"/>
        <v>3939.9360000000001</v>
      </c>
      <c r="D105"/>
      <c r="E105"/>
      <c r="F105"/>
    </row>
    <row r="106" spans="1:6" x14ac:dyDescent="0.25">
      <c r="A106" s="168" t="s">
        <v>323</v>
      </c>
      <c r="B106" s="166">
        <v>2080</v>
      </c>
      <c r="C106" s="166">
        <f t="shared" si="2"/>
        <v>2251.3920000000003</v>
      </c>
      <c r="D106"/>
      <c r="E106"/>
      <c r="F106"/>
    </row>
    <row r="107" spans="1:6" x14ac:dyDescent="0.25">
      <c r="A107" s="168" t="s">
        <v>324</v>
      </c>
      <c r="B107" s="166">
        <v>3640</v>
      </c>
      <c r="C107" s="166">
        <f t="shared" si="2"/>
        <v>3939.9360000000001</v>
      </c>
      <c r="D107"/>
      <c r="E107"/>
      <c r="F107"/>
    </row>
    <row r="108" spans="1:6" x14ac:dyDescent="0.25">
      <c r="A108" s="168" t="s">
        <v>325</v>
      </c>
      <c r="B108" s="166">
        <v>2080</v>
      </c>
      <c r="C108" s="166">
        <f t="shared" si="2"/>
        <v>2251.3920000000003</v>
      </c>
      <c r="D108"/>
      <c r="E108"/>
      <c r="F108"/>
    </row>
    <row r="109" spans="1:6" x14ac:dyDescent="0.25">
      <c r="A109" s="168" t="s">
        <v>326</v>
      </c>
      <c r="B109" s="166">
        <v>520</v>
      </c>
      <c r="C109" s="166">
        <f t="shared" si="2"/>
        <v>562.84800000000007</v>
      </c>
      <c r="D109"/>
      <c r="E109"/>
      <c r="F109"/>
    </row>
    <row r="110" spans="1:6" x14ac:dyDescent="0.25">
      <c r="A110" s="168" t="s">
        <v>327</v>
      </c>
      <c r="B110" s="166">
        <v>2080</v>
      </c>
      <c r="C110" s="166">
        <f t="shared" si="2"/>
        <v>2251.3920000000003</v>
      </c>
      <c r="D110"/>
      <c r="E110"/>
      <c r="F110"/>
    </row>
    <row r="111" spans="1:6" x14ac:dyDescent="0.25">
      <c r="A111" s="168" t="s">
        <v>328</v>
      </c>
      <c r="B111" s="166">
        <v>208</v>
      </c>
      <c r="C111" s="166">
        <f t="shared" si="2"/>
        <v>225.13920000000002</v>
      </c>
      <c r="D111"/>
      <c r="E111"/>
      <c r="F111"/>
    </row>
  </sheetData>
  <mergeCells count="30">
    <mergeCell ref="A32:B32"/>
    <mergeCell ref="A36:B36"/>
    <mergeCell ref="A41:B41"/>
    <mergeCell ref="A42:B42"/>
    <mergeCell ref="A37:B37"/>
    <mergeCell ref="A39:B39"/>
    <mergeCell ref="A40:B40"/>
    <mergeCell ref="A50:B50"/>
    <mergeCell ref="A57:B57"/>
    <mergeCell ref="A58:B58"/>
    <mergeCell ref="A52:B52"/>
    <mergeCell ref="A43:B43"/>
    <mergeCell ref="A44:B44"/>
    <mergeCell ref="A45:B45"/>
    <mergeCell ref="C41:D41"/>
    <mergeCell ref="E41:F41"/>
    <mergeCell ref="A59:B59"/>
    <mergeCell ref="A60:B60"/>
    <mergeCell ref="E28:F28"/>
    <mergeCell ref="E29:F29"/>
    <mergeCell ref="E30:F30"/>
    <mergeCell ref="A46:B46"/>
    <mergeCell ref="A47:B47"/>
    <mergeCell ref="A48:B48"/>
    <mergeCell ref="A49:B49"/>
    <mergeCell ref="A51:B51"/>
    <mergeCell ref="A53:B53"/>
    <mergeCell ref="A54:B54"/>
    <mergeCell ref="A55:B55"/>
    <mergeCell ref="A56:B56"/>
  </mergeCells>
  <printOptions gridLines="1"/>
  <pageMargins left="0.70866141732283472" right="0.70866141732283472" top="0.74803149606299213" bottom="0.74803149606299213" header="0.31496062992125984" footer="0.31496062992125984"/>
  <pageSetup paperSize="9" scale="91" orientation="landscape" r:id="rId1"/>
  <headerFooter>
    <oddFooter xml:space="preserve">&amp;L&amp;"Arial,Cursief"&amp;8&amp;F
Copyright © 2021 by KCE Trials. All rights reserved.&amp;C&amp;"Arial,Cursief"&amp;8&amp;P/&amp;N&amp;R&amp;"Arial,Cursief"&amp;8&amp;A
Budget tool v5.1
</oddFooter>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L83"/>
  <sheetViews>
    <sheetView zoomScaleNormal="100" workbookViewId="0">
      <pane ySplit="1" topLeftCell="A47" activePane="bottomLeft" state="frozen"/>
      <selection pane="bottomLeft" activeCell="I51" sqref="I51"/>
    </sheetView>
  </sheetViews>
  <sheetFormatPr defaultColWidth="9.21875" defaultRowHeight="10.199999999999999" outlineLevelRow="1" x14ac:dyDescent="0.2"/>
  <cols>
    <col min="1" max="1" width="6.21875" style="3" customWidth="1"/>
    <col min="2" max="2" width="51.44140625" style="1" bestFit="1" customWidth="1"/>
    <col min="3" max="3" width="6.77734375" style="23" customWidth="1"/>
    <col min="4" max="4" width="9.44140625" style="28" customWidth="1"/>
    <col min="5" max="5" width="10" style="28" customWidth="1"/>
    <col min="6" max="6" width="16.44140625" style="46" hidden="1" customWidth="1"/>
    <col min="7" max="7" width="18.21875" style="46" customWidth="1"/>
    <col min="8" max="8" width="14.5546875" style="46" customWidth="1"/>
    <col min="9" max="9" width="14.77734375" style="46" customWidth="1"/>
    <col min="10" max="10" width="15" style="46" customWidth="1"/>
    <col min="11" max="11" width="51.44140625" style="85" customWidth="1"/>
    <col min="12" max="12" width="100.77734375" style="1" bestFit="1" customWidth="1"/>
    <col min="13" max="16384" width="9.21875" style="1"/>
  </cols>
  <sheetData>
    <row r="1" spans="1:11" s="2" customFormat="1" ht="27.6" customHeight="1" thickBot="1" x14ac:dyDescent="0.3">
      <c r="A1" s="7"/>
      <c r="B1" s="5"/>
      <c r="C1" s="18" t="s">
        <v>0</v>
      </c>
      <c r="D1" s="24" t="s">
        <v>4</v>
      </c>
      <c r="E1" s="24" t="s">
        <v>27</v>
      </c>
      <c r="F1" s="42" t="s">
        <v>329</v>
      </c>
      <c r="G1" s="42" t="s">
        <v>355</v>
      </c>
      <c r="H1" s="42" t="s">
        <v>64</v>
      </c>
      <c r="I1" s="42" t="s">
        <v>104</v>
      </c>
      <c r="J1" s="42" t="s">
        <v>105</v>
      </c>
      <c r="K1" s="24" t="s">
        <v>95</v>
      </c>
    </row>
    <row r="2" spans="1:11" ht="20.25" customHeight="1" thickBot="1" x14ac:dyDescent="0.45">
      <c r="A2" s="9" t="s">
        <v>160</v>
      </c>
      <c r="B2" s="4"/>
      <c r="C2" s="17" t="str">
        <f>'Study Parameters BCC'!B7</f>
        <v>KCE number</v>
      </c>
      <c r="D2" s="17"/>
      <c r="E2" s="17"/>
      <c r="F2" s="41"/>
      <c r="G2" s="41"/>
      <c r="H2" s="41"/>
      <c r="I2" s="41"/>
      <c r="J2" s="41"/>
      <c r="K2" s="81" t="str">
        <f>'Study Parameters BCC'!D1</f>
        <v>DD/MM/YYYY</v>
      </c>
    </row>
    <row r="3" spans="1:11" ht="15.6" x14ac:dyDescent="0.3">
      <c r="A3" s="13">
        <v>1</v>
      </c>
      <c r="B3" s="13" t="s">
        <v>5</v>
      </c>
      <c r="C3" s="19"/>
      <c r="D3" s="25"/>
      <c r="E3" s="25"/>
      <c r="F3" s="40"/>
      <c r="G3" s="40"/>
      <c r="H3" s="47"/>
      <c r="I3" s="47"/>
      <c r="J3" s="47"/>
      <c r="K3" s="82"/>
    </row>
    <row r="4" spans="1:11" ht="15.6" x14ac:dyDescent="0.3">
      <c r="A4" s="99"/>
      <c r="B4" s="100" t="s">
        <v>159</v>
      </c>
      <c r="C4" s="101"/>
      <c r="D4" s="102"/>
      <c r="E4" s="102"/>
      <c r="F4" s="103"/>
      <c r="G4" s="103"/>
      <c r="H4" s="104"/>
      <c r="I4" s="104"/>
      <c r="J4" s="145">
        <v>0</v>
      </c>
      <c r="K4" s="105"/>
    </row>
    <row r="5" spans="1:11" s="2" customFormat="1" ht="61.8" outlineLevel="1" x14ac:dyDescent="0.25">
      <c r="A5" s="7" t="s">
        <v>66</v>
      </c>
      <c r="B5" s="89" t="s">
        <v>346</v>
      </c>
      <c r="C5" s="90"/>
      <c r="D5" s="91"/>
      <c r="E5" s="91" t="s">
        <v>162</v>
      </c>
      <c r="F5" s="136">
        <v>8000</v>
      </c>
      <c r="G5" s="136">
        <f>F5*'Budget Parameters BCC'!$C$25</f>
        <v>8659.2000000000007</v>
      </c>
      <c r="H5" s="137">
        <f>G5</f>
        <v>8659.2000000000007</v>
      </c>
      <c r="I5" s="137">
        <f>H5</f>
        <v>8659.2000000000007</v>
      </c>
      <c r="J5" s="138">
        <f>I5+(I5*'Budget Parameters BCC'!$C$23)</f>
        <v>10131.264000000001</v>
      </c>
      <c r="K5" s="109" t="s">
        <v>167</v>
      </c>
    </row>
    <row r="6" spans="1:11" s="2" customFormat="1" ht="26.4" outlineLevel="1" x14ac:dyDescent="0.25">
      <c r="A6" s="7" t="s">
        <v>67</v>
      </c>
      <c r="B6" s="10" t="s">
        <v>165</v>
      </c>
      <c r="C6" s="20"/>
      <c r="D6" s="80">
        <f>'Study Parameters BCC'!C19*0.5</f>
        <v>0</v>
      </c>
      <c r="E6" s="48" t="s">
        <v>162</v>
      </c>
      <c r="F6" s="138">
        <f>IF('Study Parameters BCC'!C20="yes",780,IF('Study Parameters BCC'!C21="yes",1040,780))</f>
        <v>780</v>
      </c>
      <c r="G6" s="138">
        <f>F6*'Budget Parameters BCC'!$C$25</f>
        <v>844.27200000000005</v>
      </c>
      <c r="H6" s="138">
        <f>G6*D6</f>
        <v>0</v>
      </c>
      <c r="I6" s="138">
        <f>H6</f>
        <v>0</v>
      </c>
      <c r="J6" s="138">
        <f>I6+(I6*'Budget Parameters BCC'!$C$23)</f>
        <v>0</v>
      </c>
      <c r="K6" s="75" t="s">
        <v>347</v>
      </c>
    </row>
    <row r="7" spans="1:11" s="2" customFormat="1" ht="26.4" outlineLevel="1" x14ac:dyDescent="0.25">
      <c r="A7" s="7" t="s">
        <v>68</v>
      </c>
      <c r="B7" s="10" t="s">
        <v>166</v>
      </c>
      <c r="C7" s="20"/>
      <c r="D7" s="80">
        <f>'Study Parameters BCC'!C19*0.5</f>
        <v>0</v>
      </c>
      <c r="E7" s="48" t="s">
        <v>162</v>
      </c>
      <c r="F7" s="138">
        <f>IF('Study Parameters BCC'!C20="yes",156,IF('Study Parameters BCC'!C21="yes",260,156))</f>
        <v>156</v>
      </c>
      <c r="G7" s="138">
        <f>F7*'Budget Parameters BCC'!$C$25</f>
        <v>168.8544</v>
      </c>
      <c r="H7" s="138">
        <f>G7*D7</f>
        <v>0</v>
      </c>
      <c r="I7" s="138">
        <f>H7</f>
        <v>0</v>
      </c>
      <c r="J7" s="138">
        <f>I7+(I7*'Budget Parameters BCC'!$C$23)</f>
        <v>0</v>
      </c>
      <c r="K7" s="75" t="s">
        <v>347</v>
      </c>
    </row>
    <row r="8" spans="1:11" s="2" customFormat="1" ht="39.6" outlineLevel="1" x14ac:dyDescent="0.25">
      <c r="A8" s="7" t="s">
        <v>164</v>
      </c>
      <c r="B8" s="6" t="s">
        <v>96</v>
      </c>
      <c r="C8" s="20"/>
      <c r="D8" s="80">
        <f>'Study Parameters BCC'!C19</f>
        <v>0</v>
      </c>
      <c r="E8" s="48" t="s">
        <v>162</v>
      </c>
      <c r="F8" s="138">
        <f>IF('Study Parameters BCC'!C20="yes",208,IF('Study Parameters BCC'!C21="yes",1040,520))</f>
        <v>520</v>
      </c>
      <c r="G8" s="138">
        <f>F8*'Budget Parameters BCC'!$C$25</f>
        <v>562.84800000000007</v>
      </c>
      <c r="H8" s="138">
        <f>G8*D8</f>
        <v>0</v>
      </c>
      <c r="I8" s="138">
        <f>H8</f>
        <v>0</v>
      </c>
      <c r="J8" s="138">
        <f>I8+(I8*'Budget Parameters BCC'!$C$23)</f>
        <v>0</v>
      </c>
      <c r="K8" s="75" t="s">
        <v>348</v>
      </c>
    </row>
    <row r="9" spans="1:11" ht="13.5" customHeight="1" x14ac:dyDescent="0.25">
      <c r="A9" s="11" t="s">
        <v>2</v>
      </c>
      <c r="B9" s="12"/>
      <c r="C9" s="21"/>
      <c r="D9" s="26"/>
      <c r="E9" s="26"/>
      <c r="F9" s="140"/>
      <c r="G9" s="140"/>
      <c r="H9" s="141">
        <f>SUM(H5:H8)</f>
        <v>8659.2000000000007</v>
      </c>
      <c r="I9" s="141">
        <f>SUM(I5:I8)</f>
        <v>8659.2000000000007</v>
      </c>
      <c r="J9" s="141">
        <f>SUM(J4:J8)</f>
        <v>10131.264000000001</v>
      </c>
      <c r="K9" s="84"/>
    </row>
    <row r="10" spans="1:11" ht="15.6" x14ac:dyDescent="0.3">
      <c r="A10" s="13">
        <v>2</v>
      </c>
      <c r="B10" s="13" t="s">
        <v>69</v>
      </c>
      <c r="C10" s="19"/>
      <c r="D10" s="48"/>
      <c r="E10" s="48"/>
      <c r="F10" s="77"/>
      <c r="G10" s="77"/>
      <c r="H10" s="49"/>
      <c r="I10" s="49"/>
      <c r="J10" s="49"/>
      <c r="K10" s="82"/>
    </row>
    <row r="11" spans="1:11" s="107" customFormat="1" ht="15.6" x14ac:dyDescent="0.3">
      <c r="A11" s="106"/>
      <c r="B11" s="100" t="s">
        <v>159</v>
      </c>
      <c r="C11" s="101"/>
      <c r="D11" s="102"/>
      <c r="E11" s="102"/>
      <c r="F11" s="103"/>
      <c r="G11" s="103"/>
      <c r="H11" s="104"/>
      <c r="I11" s="104"/>
      <c r="J11" s="145">
        <v>0</v>
      </c>
      <c r="K11" s="105"/>
    </row>
    <row r="12" spans="1:11" ht="21" outlineLevel="1" x14ac:dyDescent="0.25">
      <c r="A12" s="8" t="s">
        <v>3</v>
      </c>
      <c r="B12" s="88" t="s">
        <v>218</v>
      </c>
      <c r="C12" s="20"/>
      <c r="D12" s="48">
        <v>1</v>
      </c>
      <c r="E12" s="48" t="s">
        <v>162</v>
      </c>
      <c r="F12" s="139">
        <v>2080</v>
      </c>
      <c r="G12" s="136">
        <f>F12*'Budget Parameters BCC'!$C$25</f>
        <v>2251.3920000000003</v>
      </c>
      <c r="H12" s="138">
        <f>G12</f>
        <v>2251.3920000000003</v>
      </c>
      <c r="I12" s="138">
        <f>H12</f>
        <v>2251.3920000000003</v>
      </c>
      <c r="J12" s="138">
        <f>I12+(I12*'Budget Parameters BCC'!$C$23)</f>
        <v>2634.1286400000004</v>
      </c>
      <c r="K12" s="75" t="s">
        <v>350</v>
      </c>
    </row>
    <row r="13" spans="1:11" ht="13.2" outlineLevel="1" x14ac:dyDescent="0.25">
      <c r="A13" s="8" t="s">
        <v>6</v>
      </c>
      <c r="B13" s="6" t="s">
        <v>219</v>
      </c>
      <c r="C13" s="20"/>
      <c r="D13" s="80">
        <f>'Study Parameters BCC'!C19-1</f>
        <v>-1</v>
      </c>
      <c r="E13" s="48" t="s">
        <v>162</v>
      </c>
      <c r="F13" s="138">
        <f>IF('Study Parameters BCC'!C20="yes",104,(IF(('Study Parameters BCC'!C22="yes"),260,520)))</f>
        <v>520</v>
      </c>
      <c r="G13" s="138">
        <f>F13*'Budget Parameters BCC'!$C$25</f>
        <v>562.84800000000007</v>
      </c>
      <c r="H13" s="138">
        <f>G13*D13</f>
        <v>-562.84800000000007</v>
      </c>
      <c r="I13" s="138">
        <f>H13</f>
        <v>-562.84800000000007</v>
      </c>
      <c r="J13" s="138">
        <f>I13+(I13*'Budget Parameters BCC'!$C$23)</f>
        <v>-658.53216000000009</v>
      </c>
      <c r="K13" s="75" t="s">
        <v>349</v>
      </c>
    </row>
    <row r="14" spans="1:11" ht="13.2" outlineLevel="1" x14ac:dyDescent="0.25">
      <c r="A14" s="8" t="s">
        <v>253</v>
      </c>
      <c r="B14" s="6" t="s">
        <v>220</v>
      </c>
      <c r="C14" s="20"/>
      <c r="D14" s="80">
        <f>'Study Parameters BCC'!$D$32</f>
        <v>0</v>
      </c>
      <c r="E14" s="48" t="s">
        <v>162</v>
      </c>
      <c r="F14" s="139">
        <v>1040</v>
      </c>
      <c r="G14" s="136">
        <f>F14*'Budget Parameters BCC'!$C$25</f>
        <v>1125.6960000000001</v>
      </c>
      <c r="H14" s="138">
        <f>G14*D14</f>
        <v>0</v>
      </c>
      <c r="I14" s="138">
        <f>H14</f>
        <v>0</v>
      </c>
      <c r="J14" s="138">
        <f>I14+(I14*'Budget Parameters BCC'!$C$23)</f>
        <v>0</v>
      </c>
      <c r="K14" s="75" t="s">
        <v>351</v>
      </c>
    </row>
    <row r="15" spans="1:11" ht="13.2" outlineLevel="1" x14ac:dyDescent="0.25">
      <c r="A15" s="8" t="s">
        <v>41</v>
      </c>
      <c r="B15" s="6" t="s">
        <v>7</v>
      </c>
      <c r="C15" s="20"/>
      <c r="D15" s="48"/>
      <c r="E15" s="48"/>
      <c r="F15" s="138"/>
      <c r="G15" s="138"/>
      <c r="H15" s="139"/>
      <c r="I15" s="139">
        <f>H15</f>
        <v>0</v>
      </c>
      <c r="J15" s="139">
        <f>H15</f>
        <v>0</v>
      </c>
      <c r="K15" s="83"/>
    </row>
    <row r="16" spans="1:11" ht="13.5" customHeight="1" x14ac:dyDescent="0.25">
      <c r="A16" s="11" t="s">
        <v>2</v>
      </c>
      <c r="B16" s="12"/>
      <c r="C16" s="21"/>
      <c r="D16" s="26"/>
      <c r="E16" s="26"/>
      <c r="F16" s="78"/>
      <c r="G16" s="78"/>
      <c r="H16" s="141">
        <f>SUM(H12:H15)</f>
        <v>1688.5440000000003</v>
      </c>
      <c r="I16" s="141">
        <f>SUM(I12:I15)</f>
        <v>1688.5440000000003</v>
      </c>
      <c r="J16" s="141">
        <f>SUM(J12:J15)</f>
        <v>1975.5964800000002</v>
      </c>
      <c r="K16" s="84"/>
    </row>
    <row r="17" spans="1:11" ht="15.6" x14ac:dyDescent="0.3">
      <c r="A17" s="13">
        <v>3</v>
      </c>
      <c r="B17" s="13" t="s">
        <v>25</v>
      </c>
      <c r="C17" s="19"/>
      <c r="D17" s="25"/>
      <c r="E17" s="25"/>
      <c r="F17" s="79"/>
      <c r="G17" s="79"/>
      <c r="H17" s="40"/>
      <c r="I17" s="49"/>
      <c r="J17" s="49"/>
      <c r="K17" s="83" t="s">
        <v>156</v>
      </c>
    </row>
    <row r="18" spans="1:11" s="107" customFormat="1" ht="15.6" x14ac:dyDescent="0.3">
      <c r="A18" s="106"/>
      <c r="B18" s="100" t="s">
        <v>159</v>
      </c>
      <c r="C18" s="101"/>
      <c r="D18" s="102"/>
      <c r="E18" s="102"/>
      <c r="F18" s="103"/>
      <c r="G18" s="103"/>
      <c r="H18" s="104"/>
      <c r="I18" s="104"/>
      <c r="J18" s="145">
        <v>0</v>
      </c>
      <c r="K18" s="105"/>
    </row>
    <row r="19" spans="1:11" ht="13.2" outlineLevel="1" x14ac:dyDescent="0.25">
      <c r="A19" s="8" t="s">
        <v>99</v>
      </c>
      <c r="B19" s="6" t="s">
        <v>89</v>
      </c>
      <c r="C19" s="20" t="s">
        <v>1</v>
      </c>
      <c r="D19" s="80">
        <f>16</f>
        <v>16</v>
      </c>
      <c r="E19" s="48" t="s">
        <v>18</v>
      </c>
      <c r="F19" s="138">
        <f>VLOOKUP(E19,'Budget Parameters BCC'!$A$7:$B$19,2,FALSE)</f>
        <v>52</v>
      </c>
      <c r="G19" s="138">
        <f>F19*'Budget Parameters BCC'!$C$25</f>
        <v>56.284800000000004</v>
      </c>
      <c r="H19" s="138">
        <f>D19*FG9</f>
        <v>0</v>
      </c>
      <c r="I19" s="138">
        <f>H19+(H19*'Budget Parameters BCC'!$C$22)</f>
        <v>0</v>
      </c>
      <c r="J19" s="138">
        <f>I19+(I19*'Budget Parameters BCC'!$C$23)</f>
        <v>0</v>
      </c>
      <c r="K19" s="75" t="s">
        <v>97</v>
      </c>
    </row>
    <row r="20" spans="1:11" ht="13.2" outlineLevel="1" x14ac:dyDescent="0.25">
      <c r="A20" s="8" t="s">
        <v>100</v>
      </c>
      <c r="B20" s="6" t="s">
        <v>8</v>
      </c>
      <c r="C20" s="20" t="s">
        <v>1</v>
      </c>
      <c r="D20" s="80">
        <f>(IF('Study Parameters BCC'!C20="yes",8,IF('Study Parameters BCC'!C21="yes",20,16)))*'Study Parameters BCC'!C19</f>
        <v>0</v>
      </c>
      <c r="E20" s="48" t="s">
        <v>18</v>
      </c>
      <c r="F20" s="138">
        <f>VLOOKUP(E20,'Budget Parameters BCC'!$A$7:$B$19,2,FALSE)</f>
        <v>52</v>
      </c>
      <c r="G20" s="138">
        <f>F20*'Budget Parameters BCC'!$C$25</f>
        <v>56.284800000000004</v>
      </c>
      <c r="H20" s="138">
        <f>D20*G20</f>
        <v>0</v>
      </c>
      <c r="I20" s="138">
        <f>H20+(H20*'Budget Parameters BCC'!$C$22)</f>
        <v>0</v>
      </c>
      <c r="J20" s="138">
        <f>I20+(I20*'Budget Parameters BCC'!$C$23)</f>
        <v>0</v>
      </c>
      <c r="K20" s="75" t="s">
        <v>230</v>
      </c>
    </row>
    <row r="21" spans="1:11" ht="13.2" outlineLevel="1" x14ac:dyDescent="0.25">
      <c r="A21" s="8" t="s">
        <v>101</v>
      </c>
      <c r="B21" s="6" t="s">
        <v>9</v>
      </c>
      <c r="C21" s="20" t="s">
        <v>1</v>
      </c>
      <c r="D21" s="80">
        <f>(IF('Study Parameters BCC'!C20="yes",12,IF('Study Parameters BCC'!C21="yes",20,16)))*'Study Parameters BCC'!C19*'Study Parameters BCC'!D34</f>
        <v>0</v>
      </c>
      <c r="E21" s="48" t="s">
        <v>18</v>
      </c>
      <c r="F21" s="138">
        <f>VLOOKUP(E21,'Budget Parameters BCC'!$A$7:$B$19,2,FALSE)</f>
        <v>52</v>
      </c>
      <c r="G21" s="138">
        <f>F21*'Budget Parameters BCC'!$C$25</f>
        <v>56.284800000000004</v>
      </c>
      <c r="H21" s="138">
        <f>D21*G21</f>
        <v>0</v>
      </c>
      <c r="I21" s="138">
        <f>H21+(H21*'Budget Parameters BCC'!$C$22)</f>
        <v>0</v>
      </c>
      <c r="J21" s="138">
        <f>I21+(I21*'Budget Parameters BCC'!$C$23)</f>
        <v>0</v>
      </c>
      <c r="K21" s="75" t="s">
        <v>231</v>
      </c>
    </row>
    <row r="22" spans="1:11" ht="13.2" outlineLevel="1" x14ac:dyDescent="0.25">
      <c r="A22" s="8" t="s">
        <v>31</v>
      </c>
      <c r="B22" s="6" t="s">
        <v>29</v>
      </c>
      <c r="C22" s="20" t="s">
        <v>1</v>
      </c>
      <c r="D22" s="80">
        <f>(IF('Study Parameters BCC'!C20="yes",8,IF('Study Parameters BCC'!C21="yes",20,16)))*'Study Parameters BCC'!C19</f>
        <v>0</v>
      </c>
      <c r="E22" s="48" t="s">
        <v>18</v>
      </c>
      <c r="F22" s="138">
        <f>VLOOKUP(E22,'Budget Parameters BCC'!$A$7:$B$19,2,FALSE)</f>
        <v>52</v>
      </c>
      <c r="G22" s="138">
        <f>F22*'Budget Parameters BCC'!$C$25</f>
        <v>56.284800000000004</v>
      </c>
      <c r="H22" s="138">
        <f>D22*G22</f>
        <v>0</v>
      </c>
      <c r="I22" s="138">
        <f>H22+(H22*'Budget Parameters BCC'!$C$22)</f>
        <v>0</v>
      </c>
      <c r="J22" s="138">
        <f>I22+(I22*'Budget Parameters BCC'!$C$23)</f>
        <v>0</v>
      </c>
      <c r="K22" s="75" t="s">
        <v>232</v>
      </c>
    </row>
    <row r="23" spans="1:11" ht="52.8" outlineLevel="1" x14ac:dyDescent="0.25">
      <c r="A23" s="8" t="s">
        <v>131</v>
      </c>
      <c r="B23" s="6" t="s">
        <v>12</v>
      </c>
      <c r="C23" s="20" t="s">
        <v>1</v>
      </c>
      <c r="D23" s="80">
        <f>3*'Study Parameters BCC'!C19*'Study Parameters BCC'!D35</f>
        <v>0</v>
      </c>
      <c r="E23" s="48" t="s">
        <v>18</v>
      </c>
      <c r="F23" s="138">
        <f>VLOOKUP(E23,'Budget Parameters BCC'!$A$7:$B$19,2,FALSE)</f>
        <v>52</v>
      </c>
      <c r="G23" s="138">
        <f>F23*'Budget Parameters BCC'!$C$25</f>
        <v>56.284800000000004</v>
      </c>
      <c r="H23" s="138">
        <f>D23*G23</f>
        <v>0</v>
      </c>
      <c r="I23" s="138">
        <f>H23+(H23*'Budget Parameters BCC'!$C$22)</f>
        <v>0</v>
      </c>
      <c r="J23" s="138">
        <f>I23+(I23*'Budget Parameters BCC'!$C$23)</f>
        <v>0</v>
      </c>
      <c r="K23" s="75" t="s">
        <v>352</v>
      </c>
    </row>
    <row r="24" spans="1:11" ht="26.4" outlineLevel="1" x14ac:dyDescent="0.25">
      <c r="A24" s="8" t="s">
        <v>32</v>
      </c>
      <c r="B24" s="6" t="s">
        <v>189</v>
      </c>
      <c r="C24" s="20"/>
      <c r="D24" s="80">
        <f>('Study Parameters BCC'!D34+2)*'Study Parameters BCC'!C19</f>
        <v>0</v>
      </c>
      <c r="E24" s="48" t="s">
        <v>162</v>
      </c>
      <c r="F24" s="142">
        <f>'Budget Parameters BCC'!B30</f>
        <v>68</v>
      </c>
      <c r="G24" s="138">
        <f>F24*'Budget Parameters BCC'!$C$25</f>
        <v>73.603200000000001</v>
      </c>
      <c r="H24" s="142">
        <f>D24*G24</f>
        <v>0</v>
      </c>
      <c r="I24" s="142">
        <f>H24</f>
        <v>0</v>
      </c>
      <c r="J24" s="142">
        <f>I24</f>
        <v>0</v>
      </c>
      <c r="K24" s="75" t="s">
        <v>193</v>
      </c>
    </row>
    <row r="25" spans="1:11" ht="13.2" x14ac:dyDescent="0.25">
      <c r="A25" s="11" t="s">
        <v>2</v>
      </c>
      <c r="B25" s="12"/>
      <c r="C25" s="21"/>
      <c r="D25" s="26"/>
      <c r="E25" s="26"/>
      <c r="F25" s="140"/>
      <c r="G25" s="140"/>
      <c r="H25" s="141">
        <f>SUM(H19:H24)</f>
        <v>0</v>
      </c>
      <c r="I25" s="141">
        <f>SUM(I19:I24)</f>
        <v>0</v>
      </c>
      <c r="J25" s="141">
        <f>SUM(J19:J24)</f>
        <v>0</v>
      </c>
      <c r="K25" s="84"/>
    </row>
    <row r="26" spans="1:11" ht="15.6" x14ac:dyDescent="0.3">
      <c r="A26" s="13">
        <v>4</v>
      </c>
      <c r="B26" s="13" t="s">
        <v>28</v>
      </c>
      <c r="C26" s="19"/>
      <c r="D26" s="25"/>
      <c r="E26" s="25"/>
      <c r="F26" s="79"/>
      <c r="G26" s="79"/>
      <c r="H26" s="40"/>
      <c r="I26" s="49"/>
      <c r="J26" s="49"/>
      <c r="K26" s="83" t="s">
        <v>156</v>
      </c>
    </row>
    <row r="27" spans="1:11" s="107" customFormat="1" ht="15.6" x14ac:dyDescent="0.3">
      <c r="A27" s="106"/>
      <c r="B27" s="100" t="s">
        <v>159</v>
      </c>
      <c r="C27" s="101"/>
      <c r="D27" s="102"/>
      <c r="E27" s="102"/>
      <c r="F27" s="103"/>
      <c r="G27" s="103"/>
      <c r="H27" s="104"/>
      <c r="I27" s="104"/>
      <c r="J27" s="145">
        <v>0</v>
      </c>
      <c r="K27" s="105"/>
    </row>
    <row r="28" spans="1:11" ht="13.2" outlineLevel="1" x14ac:dyDescent="0.25">
      <c r="A28" s="8" t="s">
        <v>233</v>
      </c>
      <c r="B28" s="6" t="s">
        <v>91</v>
      </c>
      <c r="C28" s="20"/>
      <c r="D28" s="48"/>
      <c r="E28" s="48" t="s">
        <v>162</v>
      </c>
      <c r="F28" s="139">
        <v>1000</v>
      </c>
      <c r="G28" s="176">
        <f>F28*'Budget Parameters BCC'!$C$25</f>
        <v>1082.4000000000001</v>
      </c>
      <c r="H28" s="138">
        <f>G28</f>
        <v>1082.4000000000001</v>
      </c>
      <c r="I28" s="138">
        <f>H28</f>
        <v>1082.4000000000001</v>
      </c>
      <c r="J28" s="138">
        <f>I28+(I28*'Budget Parameters BCC'!$C$23)</f>
        <v>1266.4080000000001</v>
      </c>
      <c r="K28" s="75" t="s">
        <v>353</v>
      </c>
    </row>
    <row r="29" spans="1:11" ht="13.2" outlineLevel="1" x14ac:dyDescent="0.25">
      <c r="A29" s="8" t="s">
        <v>234</v>
      </c>
      <c r="B29" s="6" t="s">
        <v>92</v>
      </c>
      <c r="C29" s="20" t="s">
        <v>1</v>
      </c>
      <c r="D29" s="80">
        <f>4*'Study Parameters BCC'!C19</f>
        <v>0</v>
      </c>
      <c r="E29" s="48" t="s">
        <v>48</v>
      </c>
      <c r="F29" s="138">
        <f>VLOOKUP(E29,'Budget Parameters BCC'!$A$7:$B$19,2,FALSE)</f>
        <v>36.4</v>
      </c>
      <c r="G29" s="138">
        <f>F29*'Budget Parameters BCC'!$C$25</f>
        <v>39.399360000000001</v>
      </c>
      <c r="H29" s="138">
        <f t="shared" ref="H29:H34" si="0">G29*D29</f>
        <v>0</v>
      </c>
      <c r="I29" s="138">
        <f>H29+(H29*'Budget Parameters BCC'!$C$22)</f>
        <v>0</v>
      </c>
      <c r="J29" s="138">
        <f>I29+(I29*'Budget Parameters BCC'!$C$23)</f>
        <v>0</v>
      </c>
      <c r="K29" s="75" t="s">
        <v>126</v>
      </c>
    </row>
    <row r="30" spans="1:11" ht="13.2" outlineLevel="1" x14ac:dyDescent="0.25">
      <c r="A30" s="8" t="s">
        <v>235</v>
      </c>
      <c r="B30" s="6" t="s">
        <v>11</v>
      </c>
      <c r="C30" s="20" t="s">
        <v>1</v>
      </c>
      <c r="D30" s="48"/>
      <c r="E30" s="48" t="s">
        <v>48</v>
      </c>
      <c r="F30" s="138">
        <f>VLOOKUP(E30,'Budget Parameters BCC'!$A$7:$B$19,2,FALSE)</f>
        <v>36.4</v>
      </c>
      <c r="G30" s="138">
        <f>F30*'Budget Parameters BCC'!$C$25</f>
        <v>39.399360000000001</v>
      </c>
      <c r="H30" s="138">
        <f t="shared" si="0"/>
        <v>0</v>
      </c>
      <c r="I30" s="138">
        <f>H30+(H30*'Budget Parameters BCC'!$C$22)</f>
        <v>0</v>
      </c>
      <c r="J30" s="138">
        <f>I30+(I30*'Budget Parameters BCC'!$C$23)</f>
        <v>0</v>
      </c>
      <c r="K30" s="75" t="s">
        <v>125</v>
      </c>
    </row>
    <row r="31" spans="1:11" ht="13.2" outlineLevel="1" x14ac:dyDescent="0.25">
      <c r="A31" s="8" t="s">
        <v>236</v>
      </c>
      <c r="B31" s="6" t="s">
        <v>90</v>
      </c>
      <c r="C31" s="20" t="s">
        <v>1</v>
      </c>
      <c r="D31" s="80">
        <f>8*'Study Parameters BCC'!C19*'Study Parameters BCC'!D32</f>
        <v>0</v>
      </c>
      <c r="E31" s="48" t="s">
        <v>48</v>
      </c>
      <c r="F31" s="138">
        <f>VLOOKUP(E31,'Budget Parameters BCC'!$A$7:$B$19,2,FALSE)</f>
        <v>36.4</v>
      </c>
      <c r="G31" s="138">
        <f>F31*'Budget Parameters BCC'!$C$25</f>
        <v>39.399360000000001</v>
      </c>
      <c r="H31" s="138">
        <f t="shared" si="0"/>
        <v>0</v>
      </c>
      <c r="I31" s="138">
        <f>H31+(H31*'Budget Parameters BCC'!$C$22)</f>
        <v>0</v>
      </c>
      <c r="J31" s="138">
        <f>I31+(I31*'Budget Parameters BCC'!$C$23)</f>
        <v>0</v>
      </c>
      <c r="K31" s="75" t="s">
        <v>158</v>
      </c>
    </row>
    <row r="32" spans="1:11" ht="26.4" outlineLevel="1" x14ac:dyDescent="0.25">
      <c r="A32" s="8" t="s">
        <v>237</v>
      </c>
      <c r="B32" s="6" t="s">
        <v>98</v>
      </c>
      <c r="C32" s="20" t="s">
        <v>201</v>
      </c>
      <c r="D32" s="80">
        <f>2*'Study Parameters BCC'!$C$19*'Study Parameters BCC'!$D$32</f>
        <v>0</v>
      </c>
      <c r="E32" s="48" t="s">
        <v>162</v>
      </c>
      <c r="F32" s="138">
        <f>IF('Study Parameters BCC'!C21="yes",156,104)</f>
        <v>104</v>
      </c>
      <c r="G32" s="138">
        <f>F32*'Budget Parameters BCC'!$C$25</f>
        <v>112.56960000000001</v>
      </c>
      <c r="H32" s="138">
        <f t="shared" si="0"/>
        <v>0</v>
      </c>
      <c r="I32" s="138">
        <f>H32+(H32*'Budget Parameters BCC'!$C$22)</f>
        <v>0</v>
      </c>
      <c r="J32" s="138">
        <f>I32+(I32*'Budget Parameters BCC'!$C$23)</f>
        <v>0</v>
      </c>
      <c r="K32" s="75" t="s">
        <v>163</v>
      </c>
    </row>
    <row r="33" spans="1:11" ht="26.4" outlineLevel="1" x14ac:dyDescent="0.25">
      <c r="A33" s="8" t="s">
        <v>238</v>
      </c>
      <c r="B33" s="6" t="s">
        <v>38</v>
      </c>
      <c r="C33" s="20" t="s">
        <v>1</v>
      </c>
      <c r="D33" s="80">
        <f>2*'Study Parameters BCC'!$C$19*'Study Parameters BCC'!$D$32</f>
        <v>0</v>
      </c>
      <c r="E33" s="48" t="s">
        <v>48</v>
      </c>
      <c r="F33" s="138">
        <f>VLOOKUP(E33,'Budget Parameters BCC'!$A$7:$B$19,2,FALSE)</f>
        <v>36.4</v>
      </c>
      <c r="G33" s="138">
        <f>F33*'Budget Parameters BCC'!$C$25</f>
        <v>39.399360000000001</v>
      </c>
      <c r="H33" s="138">
        <f t="shared" si="0"/>
        <v>0</v>
      </c>
      <c r="I33" s="138">
        <f>H33+(H33*'Budget Parameters BCC'!$C$22)</f>
        <v>0</v>
      </c>
      <c r="J33" s="138">
        <f>I33+(I33*'Budget Parameters BCC'!$C$23)</f>
        <v>0</v>
      </c>
      <c r="K33" s="75" t="s">
        <v>155</v>
      </c>
    </row>
    <row r="34" spans="1:11" ht="13.2" outlineLevel="1" x14ac:dyDescent="0.25">
      <c r="A34" s="8" t="s">
        <v>239</v>
      </c>
      <c r="B34" s="6" t="s">
        <v>39</v>
      </c>
      <c r="C34" s="20" t="s">
        <v>93</v>
      </c>
      <c r="D34" s="80">
        <f>2*'Study Parameters BCC'!C19</f>
        <v>0</v>
      </c>
      <c r="E34" s="48" t="s">
        <v>124</v>
      </c>
      <c r="F34" s="138">
        <f>'Budget Parameters BCC'!B29</f>
        <v>260</v>
      </c>
      <c r="G34" s="138">
        <f>F34*'Budget Parameters BCC'!$C$25</f>
        <v>281.42400000000004</v>
      </c>
      <c r="H34" s="138">
        <f t="shared" si="0"/>
        <v>0</v>
      </c>
      <c r="I34" s="138">
        <f>H34+(H34*'Budget Parameters BCC'!$C$22)</f>
        <v>0</v>
      </c>
      <c r="J34" s="138">
        <f>I34+(I34*'Budget Parameters BCC'!$C$23)</f>
        <v>0</v>
      </c>
      <c r="K34" s="75" t="s">
        <v>354</v>
      </c>
    </row>
    <row r="35" spans="1:11" ht="13.2" x14ac:dyDescent="0.25">
      <c r="A35" s="11" t="s">
        <v>2</v>
      </c>
      <c r="B35" s="12"/>
      <c r="C35" s="21"/>
      <c r="D35" s="26"/>
      <c r="E35" s="26"/>
      <c r="F35" s="140"/>
      <c r="G35" s="140"/>
      <c r="H35" s="141">
        <f>SUM(H28:H34)</f>
        <v>1082.4000000000001</v>
      </c>
      <c r="I35" s="141">
        <f>SUM(I28:I34)</f>
        <v>1082.4000000000001</v>
      </c>
      <c r="J35" s="141">
        <f>I35+(I35*'Budget Parameters BCC'!$C$23)</f>
        <v>1266.4080000000001</v>
      </c>
      <c r="K35" s="84"/>
    </row>
    <row r="36" spans="1:11" ht="15.6" x14ac:dyDescent="0.3">
      <c r="A36" s="13">
        <v>5</v>
      </c>
      <c r="B36" s="13" t="s">
        <v>70</v>
      </c>
      <c r="C36" s="19"/>
      <c r="D36" s="25"/>
      <c r="E36" s="25"/>
      <c r="F36" s="79"/>
      <c r="G36" s="79"/>
      <c r="H36" s="40"/>
      <c r="I36" s="49"/>
      <c r="J36" s="49"/>
      <c r="K36" s="83" t="s">
        <v>156</v>
      </c>
    </row>
    <row r="37" spans="1:11" s="107" customFormat="1" ht="15.6" x14ac:dyDescent="0.3">
      <c r="A37" s="106"/>
      <c r="B37" s="100" t="s">
        <v>159</v>
      </c>
      <c r="C37" s="101"/>
      <c r="D37" s="102"/>
      <c r="E37" s="102"/>
      <c r="F37" s="143"/>
      <c r="G37" s="143"/>
      <c r="H37" s="144"/>
      <c r="I37" s="144"/>
      <c r="J37" s="145">
        <v>0</v>
      </c>
      <c r="K37" s="105"/>
    </row>
    <row r="38" spans="1:11" ht="13.2" outlineLevel="1" x14ac:dyDescent="0.25">
      <c r="A38" s="8" t="s">
        <v>23</v>
      </c>
      <c r="B38" s="6" t="s">
        <v>132</v>
      </c>
      <c r="C38" s="20"/>
      <c r="D38" s="80">
        <f>'Study Parameters BCC'!D38</f>
        <v>0</v>
      </c>
      <c r="E38" s="48" t="s">
        <v>162</v>
      </c>
      <c r="F38" s="139">
        <v>200</v>
      </c>
      <c r="G38" s="176">
        <f>F38*'Budget Parameters BCC'!$C$25</f>
        <v>216.48000000000002</v>
      </c>
      <c r="H38" s="138">
        <f>G38*D38</f>
        <v>0</v>
      </c>
      <c r="I38" s="138">
        <f>H38</f>
        <v>0</v>
      </c>
      <c r="J38" s="138">
        <f>I38+(I38*'Budget Parameters BCC'!$C$23)</f>
        <v>0</v>
      </c>
      <c r="K38" s="75" t="s">
        <v>94</v>
      </c>
    </row>
    <row r="39" spans="1:11" ht="13.2" x14ac:dyDescent="0.25">
      <c r="A39" s="11" t="s">
        <v>2</v>
      </c>
      <c r="B39" s="12"/>
      <c r="C39" s="21"/>
      <c r="D39" s="26"/>
      <c r="E39" s="26"/>
      <c r="F39" s="140"/>
      <c r="G39" s="140"/>
      <c r="H39" s="141">
        <f>SUM(H38:H38)</f>
        <v>0</v>
      </c>
      <c r="I39" s="141">
        <f>SUM(I38:I38)</f>
        <v>0</v>
      </c>
      <c r="J39" s="141">
        <f>SUM(J38:J38)</f>
        <v>0</v>
      </c>
      <c r="K39" s="84"/>
    </row>
    <row r="40" spans="1:11" ht="15.6" x14ac:dyDescent="0.3">
      <c r="A40" s="13">
        <v>6</v>
      </c>
      <c r="B40" s="87" t="s">
        <v>24</v>
      </c>
      <c r="C40" s="19"/>
      <c r="D40" s="25"/>
      <c r="E40" s="25"/>
      <c r="F40" s="79"/>
      <c r="G40" s="79"/>
      <c r="H40" s="40"/>
      <c r="I40" s="49"/>
      <c r="J40" s="49"/>
      <c r="K40" s="83" t="s">
        <v>157</v>
      </c>
    </row>
    <row r="41" spans="1:11" s="107" customFormat="1" ht="15.6" x14ac:dyDescent="0.3">
      <c r="A41" s="106"/>
      <c r="B41" s="100" t="s">
        <v>159</v>
      </c>
      <c r="C41" s="101"/>
      <c r="D41" s="102"/>
      <c r="E41" s="102"/>
      <c r="F41" s="103"/>
      <c r="G41" s="103"/>
      <c r="H41" s="144"/>
      <c r="I41" s="144"/>
      <c r="J41" s="145">
        <v>0</v>
      </c>
      <c r="K41" s="105"/>
    </row>
    <row r="42" spans="1:11" ht="13.2" x14ac:dyDescent="0.25">
      <c r="A42" s="11" t="s">
        <v>2</v>
      </c>
      <c r="B42" s="12"/>
      <c r="C42" s="21"/>
      <c r="D42" s="26"/>
      <c r="E42" s="26"/>
      <c r="F42" s="78"/>
      <c r="G42" s="78"/>
      <c r="H42" s="141">
        <v>0</v>
      </c>
      <c r="I42" s="141">
        <f>H42</f>
        <v>0</v>
      </c>
      <c r="J42" s="141">
        <f>SUM(J37:J41)</f>
        <v>0</v>
      </c>
      <c r="K42" s="84"/>
    </row>
    <row r="43" spans="1:11" ht="15.6" x14ac:dyDescent="0.3">
      <c r="A43" s="13">
        <v>7</v>
      </c>
      <c r="B43" s="13" t="s">
        <v>71</v>
      </c>
      <c r="C43" s="19"/>
      <c r="D43" s="25"/>
      <c r="E43" s="25"/>
      <c r="F43" s="79"/>
      <c r="G43" s="79"/>
      <c r="H43" s="40"/>
      <c r="I43" s="49"/>
      <c r="J43" s="49"/>
      <c r="K43" s="83" t="s">
        <v>157</v>
      </c>
    </row>
    <row r="44" spans="1:11" s="107" customFormat="1" ht="15.6" x14ac:dyDescent="0.3">
      <c r="A44" s="106"/>
      <c r="B44" s="100" t="s">
        <v>159</v>
      </c>
      <c r="C44" s="101"/>
      <c r="D44" s="102"/>
      <c r="E44" s="102"/>
      <c r="F44" s="103"/>
      <c r="G44" s="103"/>
      <c r="H44" s="144"/>
      <c r="I44" s="144"/>
      <c r="J44" s="145">
        <v>0</v>
      </c>
      <c r="K44" s="105"/>
    </row>
    <row r="45" spans="1:11" ht="13.2" outlineLevel="1" x14ac:dyDescent="0.25">
      <c r="A45" s="8" t="s">
        <v>240</v>
      </c>
      <c r="B45" s="6" t="s">
        <v>204</v>
      </c>
      <c r="C45" s="20" t="s">
        <v>1</v>
      </c>
      <c r="D45" s="80">
        <v>1</v>
      </c>
      <c r="E45" s="48" t="s">
        <v>162</v>
      </c>
      <c r="F45" s="139">
        <v>4160</v>
      </c>
      <c r="G45" s="176">
        <f>F45*'Budget Parameters BCC'!$C$25</f>
        <v>4502.7840000000006</v>
      </c>
      <c r="H45" s="138">
        <f>G45*D45</f>
        <v>4502.7840000000006</v>
      </c>
      <c r="I45" s="138">
        <f>H45</f>
        <v>4502.7840000000006</v>
      </c>
      <c r="J45" s="138">
        <f>I45+(I45*'Budget Parameters BCC'!$C$23)</f>
        <v>5268.2572800000007</v>
      </c>
      <c r="K45" s="83"/>
    </row>
    <row r="46" spans="1:11" ht="13.2" x14ac:dyDescent="0.25">
      <c r="A46" s="11" t="s">
        <v>2</v>
      </c>
      <c r="B46" s="12"/>
      <c r="C46" s="21"/>
      <c r="D46" s="26"/>
      <c r="E46" s="26"/>
      <c r="F46" s="78"/>
      <c r="G46" s="78"/>
      <c r="H46" s="141">
        <f>SUM(H45)</f>
        <v>4502.7840000000006</v>
      </c>
      <c r="I46" s="141">
        <f>SUM(I45)</f>
        <v>4502.7840000000006</v>
      </c>
      <c r="J46" s="141">
        <f>SUM(J45)</f>
        <v>5268.2572800000007</v>
      </c>
      <c r="K46" s="84"/>
    </row>
    <row r="47" spans="1:11" ht="15.6" x14ac:dyDescent="0.3">
      <c r="A47" s="13">
        <v>8</v>
      </c>
      <c r="B47" s="13" t="s">
        <v>10</v>
      </c>
      <c r="C47" s="19"/>
      <c r="D47" s="25"/>
      <c r="E47" s="25"/>
      <c r="F47" s="79"/>
      <c r="G47" s="79"/>
      <c r="H47" s="40"/>
      <c r="I47" s="49"/>
      <c r="J47" s="49"/>
      <c r="K47" s="82"/>
    </row>
    <row r="48" spans="1:11" s="107" customFormat="1" ht="15.6" x14ac:dyDescent="0.3">
      <c r="A48" s="106"/>
      <c r="B48" s="100" t="s">
        <v>159</v>
      </c>
      <c r="C48" s="101"/>
      <c r="D48" s="102"/>
      <c r="E48" s="102"/>
      <c r="F48" s="103"/>
      <c r="G48" s="103"/>
      <c r="H48" s="104"/>
      <c r="I48" s="104"/>
      <c r="J48" s="145">
        <v>0</v>
      </c>
      <c r="K48" s="105"/>
    </row>
    <row r="49" spans="1:12" ht="26.4" outlineLevel="1" x14ac:dyDescent="0.25">
      <c r="A49" s="8" t="s">
        <v>203</v>
      </c>
      <c r="B49" s="6" t="s">
        <v>72</v>
      </c>
      <c r="C49" s="20" t="s">
        <v>1</v>
      </c>
      <c r="D49" s="80">
        <f>'Study Parameters BCC'!D30*1605.2/12*(0.1+'Study Parameters BCC'!C19*0.0125)</f>
        <v>0</v>
      </c>
      <c r="E49" s="48" t="s">
        <v>17</v>
      </c>
      <c r="F49" s="138">
        <f>VLOOKUP(E49,'Budget Parameters BCC'!$A$7:$B$19,2,FALSE)</f>
        <v>52</v>
      </c>
      <c r="G49" s="138">
        <f>F49*'Budget Parameters BCC'!$C$25</f>
        <v>56.284800000000004</v>
      </c>
      <c r="H49" s="138">
        <f>G49*D49</f>
        <v>0</v>
      </c>
      <c r="I49" s="138">
        <f>H49+(H49*'Budget Parameters BCC'!$C$22)</f>
        <v>0</v>
      </c>
      <c r="J49" s="138">
        <f>I49+(I49*'Budget Parameters BCC'!$C$23)</f>
        <v>0</v>
      </c>
      <c r="K49" s="128" t="s">
        <v>202</v>
      </c>
    </row>
    <row r="50" spans="1:12" ht="13.2" outlineLevel="1" x14ac:dyDescent="0.25">
      <c r="A50" s="8" t="s">
        <v>244</v>
      </c>
      <c r="B50" s="6" t="s">
        <v>30</v>
      </c>
      <c r="C50" s="20" t="s">
        <v>1</v>
      </c>
      <c r="D50" s="80">
        <f>'Study Parameters BCC'!D30</f>
        <v>0</v>
      </c>
      <c r="E50" s="48" t="s">
        <v>162</v>
      </c>
      <c r="F50" s="139">
        <v>260</v>
      </c>
      <c r="G50" s="176">
        <f>F50*'Budget Parameters BCC'!$C$25</f>
        <v>281.42400000000004</v>
      </c>
      <c r="H50" s="138">
        <f>G50*D50</f>
        <v>0</v>
      </c>
      <c r="I50" s="138">
        <f>H50</f>
        <v>0</v>
      </c>
      <c r="J50" s="138">
        <f>I50+(I50*'Budget Parameters BCC'!$C$23)</f>
        <v>0</v>
      </c>
      <c r="K50" s="75" t="s">
        <v>245</v>
      </c>
    </row>
    <row r="51" spans="1:12" ht="21" outlineLevel="1" x14ac:dyDescent="0.25">
      <c r="A51" s="8" t="s">
        <v>254</v>
      </c>
      <c r="B51" s="88" t="s">
        <v>200</v>
      </c>
      <c r="C51" s="20"/>
      <c r="D51" s="48">
        <v>1</v>
      </c>
      <c r="E51" s="48" t="s">
        <v>162</v>
      </c>
      <c r="F51" s="139">
        <v>2080</v>
      </c>
      <c r="G51" s="176">
        <f>F51*'Budget Parameters BCC'!$C$25</f>
        <v>2251.3920000000003</v>
      </c>
      <c r="H51" s="138">
        <f>G51</f>
        <v>2251.3920000000003</v>
      </c>
      <c r="I51" s="138">
        <f>H51</f>
        <v>2251.3920000000003</v>
      </c>
      <c r="J51" s="138">
        <f>I51+(I51*'Budget Parameters BCC'!$C$23)</f>
        <v>2634.1286400000004</v>
      </c>
      <c r="K51" s="75"/>
    </row>
    <row r="52" spans="1:12" ht="13.2" outlineLevel="1" x14ac:dyDescent="0.25">
      <c r="A52" s="8" t="s">
        <v>241</v>
      </c>
      <c r="B52" s="6" t="s">
        <v>133</v>
      </c>
      <c r="C52" s="20"/>
      <c r="D52" s="48">
        <v>1</v>
      </c>
      <c r="E52" s="48" t="s">
        <v>162</v>
      </c>
      <c r="F52" s="139">
        <v>2080</v>
      </c>
      <c r="G52" s="176">
        <f>F52*'Budget Parameters BCC'!$C$25</f>
        <v>2251.3920000000003</v>
      </c>
      <c r="H52" s="138">
        <f>G52</f>
        <v>2251.3920000000003</v>
      </c>
      <c r="I52" s="138">
        <f>H52</f>
        <v>2251.3920000000003</v>
      </c>
      <c r="J52" s="138">
        <f>I52+(I52*'Budget Parameters BCC'!$C$23)</f>
        <v>2634.1286400000004</v>
      </c>
      <c r="K52" s="75"/>
    </row>
    <row r="53" spans="1:12" ht="21" outlineLevel="1" x14ac:dyDescent="0.25">
      <c r="A53" s="8" t="s">
        <v>242</v>
      </c>
      <c r="B53" s="88" t="s">
        <v>134</v>
      </c>
      <c r="C53" s="20"/>
      <c r="D53" s="80">
        <f>'Study Parameters BCC'!D33*2</f>
        <v>0</v>
      </c>
      <c r="E53" s="48" t="s">
        <v>162</v>
      </c>
      <c r="F53" s="139">
        <v>260</v>
      </c>
      <c r="G53" s="176">
        <f>F53*'Budget Parameters BCC'!$C$25</f>
        <v>281.42400000000004</v>
      </c>
      <c r="H53" s="138">
        <f>G53*D53</f>
        <v>0</v>
      </c>
      <c r="I53" s="138">
        <f>H53</f>
        <v>0</v>
      </c>
      <c r="J53" s="138">
        <f>I53+(I53*'Budget Parameters BCC'!$C$23)</f>
        <v>0</v>
      </c>
      <c r="K53" s="75" t="s">
        <v>246</v>
      </c>
    </row>
    <row r="54" spans="1:12" ht="21" outlineLevel="1" x14ac:dyDescent="0.25">
      <c r="A54" s="8" t="s">
        <v>243</v>
      </c>
      <c r="B54" s="88" t="s">
        <v>134</v>
      </c>
      <c r="C54" s="20"/>
      <c r="D54" s="80">
        <f>('Study Parameters BCC'!D30-'Study Parameters BCC'!D33)</f>
        <v>0</v>
      </c>
      <c r="E54" s="48" t="s">
        <v>162</v>
      </c>
      <c r="F54" s="176">
        <v>260</v>
      </c>
      <c r="G54" s="176">
        <f>F54*'Budget Parameters BCC'!$C$25</f>
        <v>281.42400000000004</v>
      </c>
      <c r="H54" s="138">
        <f>G54*D54</f>
        <v>0</v>
      </c>
      <c r="I54" s="138">
        <f>H54</f>
        <v>0</v>
      </c>
      <c r="J54" s="138">
        <f>I54+(I54*'Budget Parameters BCC'!$C$23)</f>
        <v>0</v>
      </c>
      <c r="K54" s="75" t="s">
        <v>247</v>
      </c>
    </row>
    <row r="55" spans="1:12" ht="13.2" x14ac:dyDescent="0.25">
      <c r="A55" s="11" t="s">
        <v>2</v>
      </c>
      <c r="B55" s="12"/>
      <c r="C55" s="21"/>
      <c r="D55" s="26"/>
      <c r="E55" s="26"/>
      <c r="F55" s="140"/>
      <c r="G55" s="140"/>
      <c r="H55" s="141">
        <f>SUM(H49:H54)</f>
        <v>4502.7840000000006</v>
      </c>
      <c r="I55" s="141">
        <f>SUM(I49:I54)</f>
        <v>4502.7840000000006</v>
      </c>
      <c r="J55" s="141">
        <f>SUM(J49:J54)</f>
        <v>5268.2572800000007</v>
      </c>
      <c r="K55" s="84"/>
    </row>
    <row r="56" spans="1:12" ht="15.6" x14ac:dyDescent="0.3">
      <c r="A56" s="13">
        <v>9</v>
      </c>
      <c r="B56" s="13" t="s">
        <v>42</v>
      </c>
      <c r="C56" s="19"/>
      <c r="D56" s="25"/>
      <c r="E56" s="25"/>
      <c r="F56" s="146"/>
      <c r="G56" s="146"/>
      <c r="H56" s="147"/>
      <c r="I56" s="139"/>
      <c r="J56" s="139"/>
      <c r="K56" s="83" t="s">
        <v>156</v>
      </c>
    </row>
    <row r="57" spans="1:12" s="107" customFormat="1" ht="15.6" x14ac:dyDescent="0.3">
      <c r="A57" s="106"/>
      <c r="B57" s="100" t="s">
        <v>159</v>
      </c>
      <c r="C57" s="101"/>
      <c r="D57" s="102"/>
      <c r="E57" s="102"/>
      <c r="F57" s="103"/>
      <c r="G57" s="103"/>
      <c r="H57" s="104"/>
      <c r="I57" s="104"/>
      <c r="J57" s="145">
        <v>0</v>
      </c>
      <c r="K57" s="105"/>
    </row>
    <row r="58" spans="1:12" ht="13.2" outlineLevel="1" x14ac:dyDescent="0.25">
      <c r="A58" s="8" t="s">
        <v>263</v>
      </c>
      <c r="B58" s="6" t="s">
        <v>43</v>
      </c>
      <c r="C58" s="20" t="s">
        <v>1</v>
      </c>
      <c r="D58" s="48"/>
      <c r="E58" s="48" t="s">
        <v>127</v>
      </c>
      <c r="F58" s="138">
        <f>VLOOKUP(E58,'Budget Parameters BCC'!$A$7:$B$19,2,FALSE)</f>
        <v>62.400000000000006</v>
      </c>
      <c r="G58" s="138">
        <f>F58*'Budget Parameters BCC'!$C$25</f>
        <v>67.541760000000011</v>
      </c>
      <c r="H58" s="138">
        <f>D58*G58</f>
        <v>0</v>
      </c>
      <c r="I58" s="138">
        <f>H58+(H58*'Budget Parameters BCC'!$C$22)</f>
        <v>0</v>
      </c>
      <c r="J58" s="138">
        <f>I58+(I58*'Budget Parameters BCC'!$C$23)</f>
        <v>0</v>
      </c>
      <c r="K58" s="75"/>
    </row>
    <row r="59" spans="1:12" ht="13.2" outlineLevel="1" x14ac:dyDescent="0.25">
      <c r="A59" s="8" t="s">
        <v>264</v>
      </c>
      <c r="B59" s="6" t="s">
        <v>74</v>
      </c>
      <c r="C59" s="20" t="s">
        <v>79</v>
      </c>
      <c r="D59" s="48"/>
      <c r="E59" s="48" t="s">
        <v>85</v>
      </c>
      <c r="F59" s="138"/>
      <c r="G59" s="138"/>
      <c r="H59" s="138">
        <f>D59*G59</f>
        <v>0</v>
      </c>
      <c r="I59" s="138">
        <f>H59+(H59*'Budget Parameters BCC'!$C$22)</f>
        <v>0</v>
      </c>
      <c r="J59" s="138">
        <f>I59+(I59*'Budget Parameters BCC'!$C$23)</f>
        <v>0</v>
      </c>
      <c r="K59" s="75"/>
    </row>
    <row r="60" spans="1:12" ht="13.2" outlineLevel="1" x14ac:dyDescent="0.25">
      <c r="A60" s="8" t="s">
        <v>259</v>
      </c>
      <c r="B60" s="6" t="s">
        <v>73</v>
      </c>
      <c r="C60" s="20" t="s">
        <v>1</v>
      </c>
      <c r="D60" s="48"/>
      <c r="E60" s="48" t="s">
        <v>85</v>
      </c>
      <c r="F60" s="139"/>
      <c r="G60" s="139"/>
      <c r="H60" s="138">
        <f>D60*G60</f>
        <v>0</v>
      </c>
      <c r="I60" s="138">
        <f>H60</f>
        <v>0</v>
      </c>
      <c r="J60" s="138">
        <f>H60</f>
        <v>0</v>
      </c>
      <c r="K60" s="75"/>
    </row>
    <row r="61" spans="1:12" ht="13.2" outlineLevel="1" x14ac:dyDescent="0.25">
      <c r="A61" s="8" t="s">
        <v>260</v>
      </c>
      <c r="B61" s="6" t="s">
        <v>35</v>
      </c>
      <c r="C61" s="20" t="s">
        <v>1</v>
      </c>
      <c r="D61" s="48"/>
      <c r="E61" s="48" t="s">
        <v>85</v>
      </c>
      <c r="F61" s="139"/>
      <c r="G61" s="139"/>
      <c r="H61" s="138">
        <f>D61*G61</f>
        <v>0</v>
      </c>
      <c r="I61" s="138">
        <f>H61</f>
        <v>0</v>
      </c>
      <c r="J61" s="138">
        <f>H61</f>
        <v>0</v>
      </c>
      <c r="K61" s="75"/>
    </row>
    <row r="62" spans="1:12" ht="13.2" outlineLevel="1" x14ac:dyDescent="0.25">
      <c r="A62" s="8" t="s">
        <v>261</v>
      </c>
      <c r="B62" s="6" t="s">
        <v>36</v>
      </c>
      <c r="C62" s="20" t="s">
        <v>1</v>
      </c>
      <c r="D62" s="48"/>
      <c r="E62" s="48" t="s">
        <v>85</v>
      </c>
      <c r="F62" s="139"/>
      <c r="G62" s="139"/>
      <c r="H62" s="138">
        <f>D62*G62</f>
        <v>0</v>
      </c>
      <c r="I62" s="138">
        <f>H62</f>
        <v>0</v>
      </c>
      <c r="J62" s="138">
        <f>H62</f>
        <v>0</v>
      </c>
      <c r="K62" s="75"/>
    </row>
    <row r="63" spans="1:12" ht="26.4" outlineLevel="1" x14ac:dyDescent="0.25">
      <c r="A63" s="8" t="s">
        <v>262</v>
      </c>
      <c r="B63" s="6" t="s">
        <v>212</v>
      </c>
      <c r="C63" s="20"/>
      <c r="D63" s="48"/>
      <c r="E63" s="48" t="s">
        <v>213</v>
      </c>
      <c r="F63" s="135">
        <f>'Budget Parameters BCC'!C24</f>
        <v>0.21</v>
      </c>
      <c r="G63" s="135">
        <f>'Budget Parameters BCC'!C24</f>
        <v>0.21</v>
      </c>
      <c r="H63" s="142"/>
      <c r="I63" s="142"/>
      <c r="J63" s="142">
        <f>SUM(J58:J62)*G63</f>
        <v>0</v>
      </c>
      <c r="K63" s="75" t="s">
        <v>214</v>
      </c>
      <c r="L63" s="75"/>
    </row>
    <row r="64" spans="1:12" ht="13.2" x14ac:dyDescent="0.25">
      <c r="A64" s="11" t="s">
        <v>2</v>
      </c>
      <c r="B64" s="12"/>
      <c r="C64" s="21"/>
      <c r="D64" s="26"/>
      <c r="E64" s="26"/>
      <c r="F64" s="78"/>
      <c r="G64" s="78"/>
      <c r="H64" s="141">
        <f>SUM(H58:H62)</f>
        <v>0</v>
      </c>
      <c r="I64" s="141">
        <f>SUM(I58:I62)</f>
        <v>0</v>
      </c>
      <c r="J64" s="141">
        <f>SUM(J58:J63)</f>
        <v>0</v>
      </c>
      <c r="K64" s="84"/>
    </row>
    <row r="65" spans="1:12" ht="15.6" x14ac:dyDescent="0.3">
      <c r="A65" s="13">
        <v>10</v>
      </c>
      <c r="B65" s="13" t="s">
        <v>44</v>
      </c>
      <c r="C65" s="19"/>
      <c r="D65" s="25"/>
      <c r="E65" s="25"/>
      <c r="F65" s="79"/>
      <c r="G65" s="79"/>
      <c r="H65" s="40"/>
      <c r="I65" s="49"/>
      <c r="J65" s="49"/>
      <c r="K65" s="83" t="s">
        <v>156</v>
      </c>
    </row>
    <row r="66" spans="1:12" s="107" customFormat="1" ht="15.6" x14ac:dyDescent="0.3">
      <c r="A66" s="106"/>
      <c r="B66" s="100" t="s">
        <v>159</v>
      </c>
      <c r="C66" s="101"/>
      <c r="D66" s="102"/>
      <c r="E66" s="102"/>
      <c r="F66" s="103"/>
      <c r="G66" s="103"/>
      <c r="H66" s="104"/>
      <c r="I66" s="104"/>
      <c r="J66" s="145">
        <v>0</v>
      </c>
      <c r="K66" s="105"/>
    </row>
    <row r="67" spans="1:12" ht="13.2" outlineLevel="1" x14ac:dyDescent="0.25">
      <c r="A67" s="8" t="s">
        <v>256</v>
      </c>
      <c r="B67" s="6" t="s">
        <v>248</v>
      </c>
      <c r="C67" s="20" t="s">
        <v>45</v>
      </c>
      <c r="D67" s="80">
        <f>'Study Parameters BCC'!C19</f>
        <v>0</v>
      </c>
      <c r="E67" s="48" t="s">
        <v>249</v>
      </c>
      <c r="F67" s="138">
        <f>'Site Costs BCC'!B27</f>
        <v>0</v>
      </c>
      <c r="G67" s="138">
        <f>'Site Costs BCC'!B27</f>
        <v>0</v>
      </c>
      <c r="H67" s="138">
        <f>G67</f>
        <v>0</v>
      </c>
      <c r="I67" s="138">
        <f>G67</f>
        <v>0</v>
      </c>
      <c r="J67" s="138">
        <f>G67</f>
        <v>0</v>
      </c>
      <c r="K67" s="75"/>
    </row>
    <row r="68" spans="1:12" ht="26.4" outlineLevel="1" x14ac:dyDescent="0.25">
      <c r="A68" s="8" t="s">
        <v>255</v>
      </c>
      <c r="B68" s="6" t="s">
        <v>216</v>
      </c>
      <c r="C68" s="20"/>
      <c r="D68" s="48"/>
      <c r="E68" s="48" t="s">
        <v>213</v>
      </c>
      <c r="F68" s="135">
        <f>'Budget Parameters BCC'!C24</f>
        <v>0.21</v>
      </c>
      <c r="G68" s="135">
        <f>'Budget Parameters BCC'!C24</f>
        <v>0.21</v>
      </c>
      <c r="H68" s="142"/>
      <c r="I68" s="142"/>
      <c r="J68" s="142">
        <f>SUM(J67:J67)*G68</f>
        <v>0</v>
      </c>
      <c r="K68" s="75" t="s">
        <v>214</v>
      </c>
      <c r="L68" s="75"/>
    </row>
    <row r="69" spans="1:12" ht="13.2" x14ac:dyDescent="0.25">
      <c r="A69" s="11" t="s">
        <v>2</v>
      </c>
      <c r="B69" s="12"/>
      <c r="C69" s="21"/>
      <c r="D69" s="26"/>
      <c r="E69" s="26"/>
      <c r="F69" s="43"/>
      <c r="G69" s="43"/>
      <c r="H69" s="141">
        <f>SUM(H67:H67)</f>
        <v>0</v>
      </c>
      <c r="I69" s="141">
        <f>SUM(I67:I67)</f>
        <v>0</v>
      </c>
      <c r="J69" s="141">
        <f>SUM(J67:J68)</f>
        <v>0</v>
      </c>
      <c r="K69" s="84"/>
    </row>
    <row r="70" spans="1:12" ht="15.6" x14ac:dyDescent="0.3">
      <c r="A70" s="13">
        <v>11</v>
      </c>
      <c r="B70" s="13" t="s">
        <v>76</v>
      </c>
      <c r="C70" s="19"/>
      <c r="D70" s="25"/>
      <c r="E70" s="25"/>
      <c r="F70" s="40"/>
      <c r="G70" s="40"/>
      <c r="H70" s="40"/>
      <c r="I70" s="49"/>
      <c r="J70" s="49"/>
      <c r="K70" s="75"/>
    </row>
    <row r="71" spans="1:12" s="107" customFormat="1" ht="15.6" x14ac:dyDescent="0.3">
      <c r="A71" s="106"/>
      <c r="B71" s="100" t="s">
        <v>159</v>
      </c>
      <c r="C71" s="101"/>
      <c r="D71" s="102"/>
      <c r="E71" s="102"/>
      <c r="F71" s="103"/>
      <c r="G71" s="103"/>
      <c r="H71" s="144"/>
      <c r="I71" s="144"/>
      <c r="J71" s="145">
        <v>0</v>
      </c>
      <c r="K71" s="105"/>
    </row>
    <row r="72" spans="1:12" ht="13.2" outlineLevel="1" x14ac:dyDescent="0.25">
      <c r="A72" s="8" t="s">
        <v>33</v>
      </c>
      <c r="B72" s="6" t="s">
        <v>75</v>
      </c>
      <c r="C72" s="20" t="s">
        <v>80</v>
      </c>
      <c r="D72" s="48"/>
      <c r="E72" s="48"/>
      <c r="F72" s="49"/>
      <c r="G72" s="49"/>
      <c r="H72" s="139"/>
      <c r="I72" s="139">
        <f>H72</f>
        <v>0</v>
      </c>
      <c r="J72" s="139">
        <f>H72</f>
        <v>0</v>
      </c>
      <c r="K72" s="75"/>
    </row>
    <row r="73" spans="1:12" ht="13.2" outlineLevel="1" x14ac:dyDescent="0.25">
      <c r="A73" s="8" t="s">
        <v>34</v>
      </c>
      <c r="B73" s="6" t="s">
        <v>26</v>
      </c>
      <c r="C73" s="20" t="s">
        <v>78</v>
      </c>
      <c r="D73" s="48"/>
      <c r="E73" s="48"/>
      <c r="F73" s="49"/>
      <c r="G73" s="49"/>
      <c r="H73" s="139"/>
      <c r="I73" s="139">
        <f>H73</f>
        <v>0</v>
      </c>
      <c r="J73" s="139">
        <f t="shared" ref="J73:J74" si="1">H73</f>
        <v>0</v>
      </c>
      <c r="K73" s="75"/>
    </row>
    <row r="74" spans="1:12" ht="13.2" outlineLevel="1" x14ac:dyDescent="0.25">
      <c r="A74" s="8" t="s">
        <v>265</v>
      </c>
      <c r="B74" s="6" t="s">
        <v>77</v>
      </c>
      <c r="C74" s="20" t="s">
        <v>80</v>
      </c>
      <c r="D74" s="48"/>
      <c r="E74" s="48"/>
      <c r="F74" s="49"/>
      <c r="G74" s="49"/>
      <c r="H74" s="139"/>
      <c r="I74" s="139">
        <f>H74</f>
        <v>0</v>
      </c>
      <c r="J74" s="139">
        <f t="shared" si="1"/>
        <v>0</v>
      </c>
      <c r="K74" s="75"/>
    </row>
    <row r="75" spans="1:12" ht="26.4" outlineLevel="1" x14ac:dyDescent="0.25">
      <c r="A75" s="8" t="s">
        <v>266</v>
      </c>
      <c r="B75" s="6" t="s">
        <v>215</v>
      </c>
      <c r="C75" s="20"/>
      <c r="D75" s="48"/>
      <c r="E75" s="48" t="s">
        <v>213</v>
      </c>
      <c r="F75" s="135">
        <f>'Budget Parameters BCC'!C24</f>
        <v>0.21</v>
      </c>
      <c r="G75" s="135">
        <f>'Budget Parameters BCC'!C24</f>
        <v>0.21</v>
      </c>
      <c r="H75" s="142"/>
      <c r="I75" s="142"/>
      <c r="J75" s="142">
        <f>SUM(J71:J73)*G75</f>
        <v>0</v>
      </c>
      <c r="K75" s="75" t="s">
        <v>214</v>
      </c>
      <c r="L75" s="75"/>
    </row>
    <row r="76" spans="1:12" ht="26.4" outlineLevel="1" x14ac:dyDescent="0.25">
      <c r="A76" s="8" t="s">
        <v>267</v>
      </c>
      <c r="B76" s="6" t="s">
        <v>257</v>
      </c>
      <c r="C76" s="20"/>
      <c r="D76" s="48"/>
      <c r="E76" s="48" t="s">
        <v>162</v>
      </c>
      <c r="F76" s="158"/>
      <c r="G76" s="158"/>
      <c r="H76" s="142">
        <f>F76*D76</f>
        <v>0</v>
      </c>
      <c r="I76" s="142"/>
      <c r="J76" s="142">
        <f>SUM(J72:J74)*F76</f>
        <v>0</v>
      </c>
      <c r="K76" s="75" t="s">
        <v>258</v>
      </c>
      <c r="L76" s="75"/>
    </row>
    <row r="77" spans="1:12" ht="13.2" x14ac:dyDescent="0.25">
      <c r="A77" s="11" t="s">
        <v>2</v>
      </c>
      <c r="B77" s="12"/>
      <c r="C77" s="21"/>
      <c r="D77" s="26"/>
      <c r="E77" s="26"/>
      <c r="F77" s="43"/>
      <c r="G77" s="43"/>
      <c r="H77" s="141">
        <f>SUM(H72:H74)</f>
        <v>0</v>
      </c>
      <c r="I77" s="141">
        <f>SUM(I72:I74)</f>
        <v>0</v>
      </c>
      <c r="J77" s="141">
        <f>SUM(J72:J76)</f>
        <v>0</v>
      </c>
      <c r="K77" s="84"/>
    </row>
    <row r="78" spans="1:12" ht="15.6" x14ac:dyDescent="0.3">
      <c r="A78" s="169">
        <v>12</v>
      </c>
      <c r="B78" s="169" t="s">
        <v>330</v>
      </c>
      <c r="C78" s="19"/>
      <c r="D78" s="25"/>
      <c r="E78" s="25"/>
      <c r="F78" s="170"/>
      <c r="G78" s="170"/>
      <c r="H78" s="171"/>
      <c r="I78" s="172"/>
      <c r="J78" s="172"/>
      <c r="K78" s="82"/>
    </row>
    <row r="79" spans="1:12" ht="13.2" x14ac:dyDescent="0.25">
      <c r="A79" s="8" t="s">
        <v>335</v>
      </c>
      <c r="B79" s="6" t="s">
        <v>331</v>
      </c>
      <c r="C79" s="20" t="s">
        <v>332</v>
      </c>
      <c r="D79" s="48">
        <v>1</v>
      </c>
      <c r="E79" s="48" t="s">
        <v>162</v>
      </c>
      <c r="F79" s="172">
        <v>2080</v>
      </c>
      <c r="G79" s="173">
        <v>2251.3920000000003</v>
      </c>
      <c r="H79" s="142">
        <f>G79*D79</f>
        <v>2251.3920000000003</v>
      </c>
      <c r="I79" s="142">
        <f>H79</f>
        <v>2251.3920000000003</v>
      </c>
      <c r="J79" s="142">
        <v>2634.1286400000004</v>
      </c>
      <c r="K79" s="75"/>
    </row>
    <row r="80" spans="1:12" ht="13.2" x14ac:dyDescent="0.25">
      <c r="A80" s="8" t="s">
        <v>336</v>
      </c>
      <c r="B80" s="6" t="s">
        <v>333</v>
      </c>
      <c r="C80" s="20" t="s">
        <v>334</v>
      </c>
      <c r="D80" s="80"/>
      <c r="E80" s="48"/>
      <c r="F80" s="172"/>
      <c r="G80" s="172"/>
      <c r="H80" s="142"/>
      <c r="I80" s="142"/>
      <c r="J80" s="142"/>
      <c r="K80" s="75"/>
    </row>
    <row r="81" spans="1:11" ht="13.2" x14ac:dyDescent="0.25">
      <c r="A81" s="11"/>
      <c r="B81" s="12"/>
      <c r="C81" s="21"/>
      <c r="D81" s="26"/>
      <c r="E81" s="26"/>
      <c r="F81" s="174"/>
      <c r="G81" s="174"/>
      <c r="H81" s="174">
        <f>SUM(H79:H80)</f>
        <v>2251.3920000000003</v>
      </c>
      <c r="I81" s="174">
        <f>SUM(I79:I80)</f>
        <v>2251.3920000000003</v>
      </c>
      <c r="J81" s="174">
        <f>SUM(J79:J80)</f>
        <v>2634.1286400000004</v>
      </c>
      <c r="K81" s="84"/>
    </row>
    <row r="82" spans="1:11" ht="13.2" x14ac:dyDescent="0.25">
      <c r="F82" s="44"/>
      <c r="G82" s="44"/>
      <c r="H82" s="148"/>
      <c r="I82" s="139"/>
      <c r="J82" s="139"/>
    </row>
    <row r="83" spans="1:11" ht="13.2" x14ac:dyDescent="0.25">
      <c r="A83" s="51" t="s">
        <v>106</v>
      </c>
      <c r="B83" s="16"/>
      <c r="C83" s="22"/>
      <c r="D83" s="27"/>
      <c r="E83" s="27"/>
      <c r="F83" s="45"/>
      <c r="G83" s="45"/>
      <c r="H83" s="149">
        <f>SUM(H9+H16+H25+H35+H39+H46+H55+H64+H69+H77+H81)</f>
        <v>22687.103999999999</v>
      </c>
      <c r="I83" s="149">
        <f>SUM(I77,I64,I55,I42,I39,I35,I25,I16,I9,I46,I69,I81)</f>
        <v>22687.104000000003</v>
      </c>
      <c r="J83" s="149">
        <f>SUM(J77,J64,J55,J42,J39,J35,J25,J16,J9,J46,J69,J81)</f>
        <v>26543.911680000005</v>
      </c>
      <c r="K83" s="86"/>
    </row>
  </sheetData>
  <autoFilter ref="A1:K77" xr:uid="{00000000-0009-0000-0000-000004000000}"/>
  <customSheetViews>
    <customSheetView guid="{44F680A0-1DE8-11D3-AA98-444553540001}" showPageBreaks="1" fitToPage="1" printArea="1" showRuler="0" topLeftCell="A53">
      <selection activeCell="H85" sqref="H85"/>
      <pageMargins left="0.6692913385826772" right="0.6692913385826772" top="0.78740157480314965" bottom="0.78740157480314965" header="0.51181102362204722" footer="0.51181102362204722"/>
      <pageSetup paperSize="9" scale="64" orientation="portrait" horizontalDpi="4294967292" verticalDpi="300" r:id="rId1"/>
      <headerFooter alignWithMargins="0">
        <oddFooter>&amp;L&amp;F
Date: &amp;D&amp;CPage 2/3&amp;RHarrison Clinical Research</oddFooter>
      </headerFooter>
    </customSheetView>
    <customSheetView guid="{7C37BAE0-401E-11D3-8EB7-444553540000}" showPageBreaks="1" fitToPage="1" printArea="1" showRuler="0" topLeftCell="A30">
      <selection activeCell="H33" sqref="H33"/>
      <pageMargins left="0.6692913385826772" right="0.6692913385826772" top="0.78740157480314965" bottom="0.78740157480314965" header="0.51181102362204722" footer="0.51181102362204722"/>
      <pageSetup paperSize="9" scale="63" orientation="portrait" horizontalDpi="4294967292" verticalDpi="300" r:id="rId2"/>
      <headerFooter alignWithMargins="0">
        <oddFooter>&amp;L&amp;F
Date: &amp;D&amp;CPage 2/3&amp;RHarrison Clinical Research</oddFooter>
      </headerFooter>
    </customSheetView>
  </customSheetViews>
  <phoneticPr fontId="7" type="noConversion"/>
  <hyperlinks>
    <hyperlink ref="K49" location="'Budget Parameters BCC'!A1" display="for the correct calculation see study parameters, How to calculate PM time" xr:uid="{00000000-0004-0000-0400-000000000000}"/>
  </hyperlinks>
  <pageMargins left="0.6692913385826772" right="0.6692913385826772" top="0.78740157480314965" bottom="0.78740157480314965" header="0.51181102362204722" footer="0.51181102362204722"/>
  <pageSetup paperSize="9" scale="44" fitToHeight="2" orientation="landscape" r:id="rId3"/>
  <headerFooter alignWithMargins="0">
    <oddFooter>&amp;L&amp;"Arial,Cursief"&amp;8&amp;F
Copyright © 2021 by KCE Trials. All rights reserved.&amp;C&amp;"Arial,Cursief"&amp;8Page &amp;P/&amp;N&amp;R&amp;"Arial,Cursief"&amp;8&amp;A
Budget tool BCC v5.1</oddFooter>
  </headerFooter>
  <rowBreaks count="1" manualBreakCount="1">
    <brk id="55" max="16383" man="1"/>
  </rowBreaks>
  <legacyDrawing r:id="rId4"/>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S27"/>
  <sheetViews>
    <sheetView topLeftCell="A9" zoomScaleNormal="100" workbookViewId="0">
      <selection activeCell="D27" sqref="D27"/>
    </sheetView>
  </sheetViews>
  <sheetFormatPr defaultColWidth="9.21875" defaultRowHeight="14.4" x14ac:dyDescent="0.3"/>
  <cols>
    <col min="1" max="1" width="29.44140625" style="32" customWidth="1"/>
    <col min="2" max="2" width="13.5546875" style="32" customWidth="1"/>
    <col min="3" max="3" width="8.5546875" style="32" customWidth="1"/>
    <col min="4" max="4" width="8.44140625" style="32" customWidth="1"/>
    <col min="5" max="6" width="9.21875" style="32"/>
    <col min="7" max="7" width="13.44140625" style="32" customWidth="1"/>
    <col min="8" max="8" width="16.77734375" style="32" customWidth="1"/>
    <col min="9" max="16384" width="9.21875" style="32"/>
  </cols>
  <sheetData>
    <row r="1" spans="1:19" s="1" customFormat="1" ht="20.25" customHeight="1" thickBot="1" x14ac:dyDescent="0.35">
      <c r="A1" s="52" t="s">
        <v>22</v>
      </c>
      <c r="B1" s="53"/>
      <c r="C1" s="53" t="str">
        <f>'Study Parameters BCC'!B7</f>
        <v>KCE number</v>
      </c>
      <c r="D1" s="53"/>
      <c r="E1" s="53"/>
      <c r="F1" s="53"/>
      <c r="G1" s="53"/>
      <c r="H1" s="39" t="str">
        <f>'Overall Cost BCC'!K2</f>
        <v>DD/MM/YYYY</v>
      </c>
      <c r="J1" s="191" t="s">
        <v>252</v>
      </c>
      <c r="K1" s="191"/>
      <c r="L1" s="191"/>
      <c r="M1" s="191"/>
      <c r="N1" s="191"/>
      <c r="O1" s="131"/>
      <c r="P1" s="131"/>
      <c r="Q1" s="131"/>
      <c r="R1" s="131"/>
      <c r="S1" s="131"/>
    </row>
    <row r="2" spans="1:19" customFormat="1" ht="13.8" thickBot="1" x14ac:dyDescent="0.3">
      <c r="A2" s="29"/>
      <c r="B2" s="30"/>
      <c r="C2" s="30"/>
      <c r="D2" s="30"/>
      <c r="E2" s="30"/>
      <c r="F2" s="30"/>
      <c r="G2" s="30"/>
      <c r="H2" s="31"/>
      <c r="J2" s="191"/>
      <c r="K2" s="191"/>
      <c r="L2" s="191"/>
      <c r="M2" s="191"/>
      <c r="N2" s="191"/>
    </row>
    <row r="3" spans="1:19" s="1" customFormat="1" ht="20.25" customHeight="1" thickBot="1" x14ac:dyDescent="0.35">
      <c r="A3" s="52" t="s">
        <v>57</v>
      </c>
      <c r="B3" s="53"/>
      <c r="C3" s="53"/>
      <c r="D3" s="53"/>
      <c r="E3" s="53"/>
      <c r="F3" s="53"/>
      <c r="G3" s="53"/>
      <c r="H3" s="54"/>
      <c r="J3" s="191"/>
      <c r="K3" s="191"/>
      <c r="L3" s="191"/>
      <c r="M3" s="191"/>
      <c r="N3" s="191"/>
    </row>
    <row r="4" spans="1:19" ht="40.799999999999997" x14ac:dyDescent="0.3">
      <c r="A4" s="55" t="s">
        <v>49</v>
      </c>
      <c r="B4" s="56" t="s">
        <v>207</v>
      </c>
      <c r="C4" s="55" t="s">
        <v>50</v>
      </c>
      <c r="D4" s="190" t="s">
        <v>51</v>
      </c>
      <c r="E4" s="190"/>
      <c r="F4" s="190"/>
      <c r="G4" s="56" t="s">
        <v>52</v>
      </c>
      <c r="H4" s="55" t="s">
        <v>53</v>
      </c>
    </row>
    <row r="5" spans="1:19" x14ac:dyDescent="0.3">
      <c r="A5" s="57"/>
      <c r="B5" s="57"/>
      <c r="C5" s="58"/>
      <c r="D5" s="65" t="s">
        <v>54</v>
      </c>
      <c r="E5" s="65" t="s">
        <v>55</v>
      </c>
      <c r="F5" s="65" t="s">
        <v>81</v>
      </c>
      <c r="G5" s="58"/>
      <c r="H5" s="58"/>
    </row>
    <row r="6" spans="1:19" x14ac:dyDescent="0.3">
      <c r="A6" s="66" t="s">
        <v>196</v>
      </c>
      <c r="B6" s="57"/>
      <c r="C6" s="58"/>
      <c r="D6" s="59"/>
      <c r="E6" s="59"/>
      <c r="F6" s="59"/>
      <c r="G6" s="58"/>
      <c r="H6" s="58"/>
    </row>
    <row r="7" spans="1:19" x14ac:dyDescent="0.3">
      <c r="A7" s="60" t="s">
        <v>56</v>
      </c>
      <c r="B7" s="152">
        <f>'Budget Parameters BCC'!C17</f>
        <v>112.56960000000001</v>
      </c>
      <c r="C7" s="152">
        <f>B7/2</f>
        <v>56.284800000000004</v>
      </c>
      <c r="D7" s="153"/>
      <c r="E7" s="153"/>
      <c r="F7" s="153"/>
      <c r="G7" s="153"/>
      <c r="H7" s="153"/>
    </row>
    <row r="8" spans="1:19" x14ac:dyDescent="0.3">
      <c r="A8" s="60" t="s">
        <v>147</v>
      </c>
      <c r="B8" s="152">
        <f>'Budget Parameters BCC'!F48</f>
        <v>17.3184</v>
      </c>
      <c r="C8" s="152"/>
      <c r="D8" s="152"/>
      <c r="E8" s="152"/>
      <c r="F8" s="152"/>
      <c r="G8" s="152"/>
      <c r="H8" s="152"/>
    </row>
    <row r="9" spans="1:19" x14ac:dyDescent="0.3">
      <c r="A9" s="60" t="s">
        <v>148</v>
      </c>
      <c r="B9" s="152">
        <f>'Budget Parameters BCC'!C17</f>
        <v>112.56960000000001</v>
      </c>
      <c r="C9" s="152">
        <f>B9*0.5</f>
        <v>56.284800000000004</v>
      </c>
      <c r="D9" s="152">
        <f>15/60*$B$9</f>
        <v>28.142400000000002</v>
      </c>
      <c r="E9" s="152">
        <f t="shared" ref="E9:H9" si="0">15/60*$B$9</f>
        <v>28.142400000000002</v>
      </c>
      <c r="F9" s="152">
        <f t="shared" si="0"/>
        <v>28.142400000000002</v>
      </c>
      <c r="G9" s="152">
        <f t="shared" si="0"/>
        <v>28.142400000000002</v>
      </c>
      <c r="H9" s="152">
        <f t="shared" si="0"/>
        <v>28.142400000000002</v>
      </c>
    </row>
    <row r="10" spans="1:19" x14ac:dyDescent="0.3">
      <c r="A10" s="60" t="s">
        <v>149</v>
      </c>
      <c r="B10" s="152">
        <f>'Budget Parameters BCC'!C15</f>
        <v>50.19</v>
      </c>
      <c r="C10" s="152">
        <f>2.5*B10</f>
        <v>125.47499999999999</v>
      </c>
      <c r="D10" s="152">
        <f t="shared" ref="D10:H10" si="1">2*$B$10</f>
        <v>100.38</v>
      </c>
      <c r="E10" s="152">
        <f t="shared" si="1"/>
        <v>100.38</v>
      </c>
      <c r="F10" s="152">
        <f t="shared" si="1"/>
        <v>100.38</v>
      </c>
      <c r="G10" s="152">
        <f t="shared" si="1"/>
        <v>100.38</v>
      </c>
      <c r="H10" s="152">
        <f t="shared" si="1"/>
        <v>100.38</v>
      </c>
    </row>
    <row r="11" spans="1:19" x14ac:dyDescent="0.3">
      <c r="A11" s="60"/>
      <c r="B11" s="61"/>
      <c r="C11" s="61"/>
      <c r="D11" s="58"/>
      <c r="E11" s="58"/>
      <c r="F11" s="58"/>
      <c r="G11" s="58"/>
      <c r="H11" s="58"/>
    </row>
    <row r="12" spans="1:19" x14ac:dyDescent="0.3">
      <c r="A12" s="67" t="s">
        <v>195</v>
      </c>
      <c r="B12" s="68"/>
      <c r="C12" s="154">
        <f>SUM(C7:C11)</f>
        <v>238.0446</v>
      </c>
      <c r="D12" s="154">
        <f t="shared" ref="D12:H12" si="2">SUM(D7:D11)</f>
        <v>128.5224</v>
      </c>
      <c r="E12" s="154">
        <f t="shared" si="2"/>
        <v>128.5224</v>
      </c>
      <c r="F12" s="154">
        <f t="shared" si="2"/>
        <v>128.5224</v>
      </c>
      <c r="G12" s="154">
        <f t="shared" si="2"/>
        <v>128.5224</v>
      </c>
      <c r="H12" s="154">
        <f t="shared" si="2"/>
        <v>128.5224</v>
      </c>
    </row>
    <row r="13" spans="1:19" x14ac:dyDescent="0.3">
      <c r="A13" s="60" t="s">
        <v>208</v>
      </c>
      <c r="B13" s="61"/>
      <c r="C13" s="152">
        <f>'Budget Parameters BCC'!$C$22*'Site Costs BCC'!C12</f>
        <v>23.804460000000002</v>
      </c>
      <c r="D13" s="152">
        <f>'Budget Parameters BCC'!$C$22*'Site Costs BCC'!D12</f>
        <v>12.852240000000002</v>
      </c>
      <c r="E13" s="152">
        <f>'Budget Parameters BCC'!$C$22*'Site Costs BCC'!E12</f>
        <v>12.852240000000002</v>
      </c>
      <c r="F13" s="152">
        <f>'Budget Parameters BCC'!$C$22*'Site Costs BCC'!F12</f>
        <v>12.852240000000002</v>
      </c>
      <c r="G13" s="152">
        <f>'Budget Parameters BCC'!$C$22*'Site Costs BCC'!G12</f>
        <v>12.852240000000002</v>
      </c>
      <c r="H13" s="152">
        <f>'Budget Parameters BCC'!$C$22*'Site Costs BCC'!H12</f>
        <v>12.852240000000002</v>
      </c>
    </row>
    <row r="14" spans="1:19" x14ac:dyDescent="0.3">
      <c r="A14" s="62" t="s">
        <v>40</v>
      </c>
      <c r="B14" s="68"/>
      <c r="C14" s="154">
        <f>SUM(C12:C13)</f>
        <v>261.84906000000001</v>
      </c>
      <c r="D14" s="154">
        <f t="shared" ref="D14:H14" si="3">SUM(D12:D13)</f>
        <v>141.37464</v>
      </c>
      <c r="E14" s="154">
        <f t="shared" si="3"/>
        <v>141.37464</v>
      </c>
      <c r="F14" s="154">
        <f t="shared" si="3"/>
        <v>141.37464</v>
      </c>
      <c r="G14" s="154">
        <f t="shared" si="3"/>
        <v>141.37464</v>
      </c>
      <c r="H14" s="154">
        <f t="shared" si="3"/>
        <v>141.37464</v>
      </c>
    </row>
    <row r="15" spans="1:19" x14ac:dyDescent="0.3">
      <c r="A15" s="62" t="s">
        <v>60</v>
      </c>
      <c r="B15" s="155">
        <f>SUM(C14+D14+E14+F14+H14)</f>
        <v>827.34762000000001</v>
      </c>
      <c r="C15" s="58"/>
      <c r="D15" s="58"/>
      <c r="E15" s="58"/>
      <c r="F15" s="58"/>
      <c r="G15" s="58"/>
      <c r="H15" s="58"/>
    </row>
    <row r="16" spans="1:19" x14ac:dyDescent="0.3">
      <c r="A16" s="62" t="s">
        <v>61</v>
      </c>
      <c r="B16" s="129">
        <f>'Budget Parameters BCC'!C23</f>
        <v>0.17</v>
      </c>
      <c r="C16" s="58"/>
      <c r="D16" s="58"/>
      <c r="E16" s="58"/>
      <c r="F16" s="58"/>
      <c r="G16" s="58"/>
      <c r="H16" s="58"/>
    </row>
    <row r="17" spans="1:8" x14ac:dyDescent="0.3">
      <c r="A17" s="63" t="s">
        <v>62</v>
      </c>
      <c r="B17" s="156">
        <f>B15*(1+B16)</f>
        <v>967.99671539999997</v>
      </c>
      <c r="C17" s="58"/>
      <c r="D17" s="58"/>
      <c r="E17" s="58"/>
      <c r="F17" s="58"/>
      <c r="G17" s="58"/>
      <c r="H17" s="58"/>
    </row>
    <row r="18" spans="1:8" ht="15" thickBot="1" x14ac:dyDescent="0.35">
      <c r="A18" s="63" t="s">
        <v>209</v>
      </c>
      <c r="B18" s="155">
        <f>'Study Parameters BCC'!C14*'Site Costs BCC'!B17</f>
        <v>0</v>
      </c>
      <c r="C18" s="58"/>
      <c r="D18" s="58"/>
      <c r="E18" s="58"/>
      <c r="F18" s="58"/>
      <c r="G18" s="58"/>
      <c r="H18" s="58"/>
    </row>
    <row r="19" spans="1:8" ht="16.2" thickBot="1" x14ac:dyDescent="0.35">
      <c r="A19" s="52" t="s">
        <v>58</v>
      </c>
      <c r="B19" s="53"/>
      <c r="C19" s="53"/>
      <c r="D19" s="53"/>
      <c r="E19" s="53"/>
      <c r="F19" s="53"/>
      <c r="G19" s="53"/>
      <c r="H19" s="54"/>
    </row>
    <row r="20" spans="1:8" x14ac:dyDescent="0.3">
      <c r="A20" s="64" t="s">
        <v>13</v>
      </c>
      <c r="B20" s="130">
        <f>'Study Parameters BCC'!B19</f>
        <v>0</v>
      </c>
      <c r="C20" s="58"/>
      <c r="D20" s="58"/>
      <c r="E20" s="58"/>
      <c r="F20" s="58"/>
      <c r="G20" s="58"/>
      <c r="H20" s="58"/>
    </row>
    <row r="21" spans="1:8" x14ac:dyDescent="0.3">
      <c r="A21" s="64" t="s">
        <v>59</v>
      </c>
      <c r="B21" s="152">
        <f>'Budget Parameters BCC'!C28</f>
        <v>1125.6960000000001</v>
      </c>
      <c r="C21" s="58"/>
      <c r="D21" s="58"/>
      <c r="E21" s="58"/>
      <c r="F21" s="58"/>
      <c r="G21" s="58"/>
      <c r="H21" s="58"/>
    </row>
    <row r="22" spans="1:8" x14ac:dyDescent="0.3">
      <c r="A22" s="64" t="s">
        <v>39</v>
      </c>
      <c r="B22" s="152">
        <f>'Budget Parameters BCC'!C29</f>
        <v>281.42400000000004</v>
      </c>
      <c r="C22" s="58"/>
      <c r="D22" s="58"/>
      <c r="E22" s="58"/>
      <c r="F22" s="58"/>
      <c r="G22" s="58"/>
      <c r="H22" s="58"/>
    </row>
    <row r="23" spans="1:8" x14ac:dyDescent="0.3">
      <c r="A23" s="58"/>
      <c r="B23" s="153"/>
      <c r="C23" s="58"/>
      <c r="D23" s="58"/>
      <c r="E23" s="58"/>
      <c r="F23" s="58"/>
      <c r="G23" s="58"/>
      <c r="H23" s="58"/>
    </row>
    <row r="24" spans="1:8" x14ac:dyDescent="0.3">
      <c r="A24" s="63" t="s">
        <v>82</v>
      </c>
      <c r="B24" s="156">
        <f>SUM(B21:B22)*B16+SUM(B21:B22)</f>
        <v>1646.3304000000003</v>
      </c>
      <c r="C24" s="58"/>
      <c r="D24" s="58"/>
      <c r="E24" s="58"/>
      <c r="F24" s="58"/>
      <c r="G24" s="58"/>
      <c r="H24" s="58"/>
    </row>
    <row r="25" spans="1:8" x14ac:dyDescent="0.3">
      <c r="A25" s="63" t="s">
        <v>63</v>
      </c>
      <c r="B25" s="156">
        <f>B24*B20</f>
        <v>0</v>
      </c>
      <c r="C25" s="58"/>
      <c r="D25" s="58"/>
      <c r="E25" s="58"/>
      <c r="F25" s="58"/>
      <c r="G25" s="58"/>
      <c r="H25" s="58"/>
    </row>
    <row r="26" spans="1:8" x14ac:dyDescent="0.3">
      <c r="B26" s="157"/>
    </row>
    <row r="27" spans="1:8" x14ac:dyDescent="0.3">
      <c r="A27" s="63" t="s">
        <v>210</v>
      </c>
      <c r="B27" s="156">
        <f>B25+B18</f>
        <v>0</v>
      </c>
    </row>
  </sheetData>
  <mergeCells count="2">
    <mergeCell ref="D4:F4"/>
    <mergeCell ref="J1:N3"/>
  </mergeCells>
  <dataValidations disablePrompts="1" count="1">
    <dataValidation type="textLength" operator="lessThan" allowBlank="1" showInputMessage="1" showErrorMessage="1" errorTitle="Exceeded Number of Characters" error="You have exceeded the maximum amount of permitted characters. Please ensure that the field you are trying to populate contains no more than 55 characters." sqref="A22" xr:uid="{00000000-0002-0000-0500-000000000000}">
      <formula1>55</formula1>
    </dataValidation>
  </dataValidations>
  <pageMargins left="0.70866141732283472" right="0.70866141732283472" top="0.74803149606299213" bottom="0.74803149606299213" header="0.31496062992125984" footer="0.31496062992125984"/>
  <pageSetup paperSize="9" orientation="landscape" r:id="rId1"/>
  <headerFooter>
    <oddFooter>&amp;L&amp;"Arial,Cursief"&amp;8&amp;F&amp;C&amp;"Arial,Cursief"&amp;8Page &amp;P/&amp;N&amp;R&amp;"Arial,Cursief"&amp;8&amp;A
Version 5.1</oddFooter>
  </headerFooter>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14"/>
  <sheetViews>
    <sheetView workbookViewId="0">
      <selection activeCell="A7" sqref="A7"/>
    </sheetView>
  </sheetViews>
  <sheetFormatPr defaultColWidth="8.77734375" defaultRowHeight="13.2" x14ac:dyDescent="0.25"/>
  <cols>
    <col min="1" max="1" width="117.44140625" style="114" customWidth="1"/>
    <col min="2" max="16384" width="8.77734375" style="114"/>
  </cols>
  <sheetData>
    <row r="1" spans="1:1" s="127" customFormat="1" ht="81.599999999999994" x14ac:dyDescent="0.2">
      <c r="A1" s="126" t="s">
        <v>205</v>
      </c>
    </row>
    <row r="2" spans="1:1" x14ac:dyDescent="0.25">
      <c r="A2" s="126" t="s">
        <v>206</v>
      </c>
    </row>
    <row r="3" spans="1:1" ht="21" x14ac:dyDescent="0.25">
      <c r="A3" s="126" t="s">
        <v>217</v>
      </c>
    </row>
    <row r="4" spans="1:1" ht="31.2" x14ac:dyDescent="0.25">
      <c r="A4" s="126" t="s">
        <v>250</v>
      </c>
    </row>
    <row r="5" spans="1:1" x14ac:dyDescent="0.25">
      <c r="A5" s="126" t="s">
        <v>337</v>
      </c>
    </row>
    <row r="6" spans="1:1" ht="31.2" x14ac:dyDescent="0.25">
      <c r="A6" s="175" t="s">
        <v>338</v>
      </c>
    </row>
    <row r="7" spans="1:1" x14ac:dyDescent="0.25">
      <c r="A7" s="126"/>
    </row>
    <row r="8" spans="1:1" x14ac:dyDescent="0.25">
      <c r="A8" s="126"/>
    </row>
    <row r="9" spans="1:1" x14ac:dyDescent="0.25">
      <c r="A9" s="126"/>
    </row>
    <row r="10" spans="1:1" x14ac:dyDescent="0.25">
      <c r="A10" s="126"/>
    </row>
    <row r="11" spans="1:1" x14ac:dyDescent="0.25">
      <c r="A11" s="126"/>
    </row>
    <row r="12" spans="1:1" x14ac:dyDescent="0.25">
      <c r="A12" s="126"/>
    </row>
    <row r="13" spans="1:1" x14ac:dyDescent="0.25">
      <c r="A13" s="126"/>
    </row>
    <row r="14" spans="1:1" x14ac:dyDescent="0.25">
      <c r="A14" s="126"/>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0FC48F32B665A4681032F5C01273A5E" ma:contentTypeVersion="6" ma:contentTypeDescription="Create a new document." ma:contentTypeScope="" ma:versionID="68ac0a94e8f3fbefb70814468095defa">
  <xsd:schema xmlns:xsd="http://www.w3.org/2001/XMLSchema" xmlns:xs="http://www.w3.org/2001/XMLSchema" xmlns:p="http://schemas.microsoft.com/office/2006/metadata/properties" xmlns:ns2="04c8f565-a047-4190-8d08-438114edf654" xmlns:ns3="44b4060f-e070-4511-aeff-5144ea3d9588" targetNamespace="http://schemas.microsoft.com/office/2006/metadata/properties" ma:root="true" ma:fieldsID="4479a6ab2daa97c3062920553f2d6a61" ns2:_="" ns3:_="">
    <xsd:import namespace="04c8f565-a047-4190-8d08-438114edf654"/>
    <xsd:import namespace="44b4060f-e070-4511-aeff-5144ea3d9588"/>
    <xsd:element name="properties">
      <xsd:complexType>
        <xsd:sequence>
          <xsd:element name="documentManagement">
            <xsd:complexType>
              <xsd:all>
                <xsd:element ref="ns2:SharedWithUsers" minOccurs="0"/>
                <xsd:element ref="ns2:SharingHintHash" minOccurs="0"/>
                <xsd:element ref="ns2:SharedWithDetails" minOccurs="0"/>
                <xsd:element ref="ns3:myxu" minOccurs="0"/>
                <xsd:element ref="ns2:LastSharedByUser" minOccurs="0"/>
                <xsd:element ref="ns2:LastSharedByTi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4c8f565-a047-4190-8d08-438114edf654"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ingHintHash" ma:index="9" nillable="true" ma:displayName="Sharing Hint Hash" ma:internalName="SharingHintHash" ma:readOnly="true">
      <xsd:simpleType>
        <xsd:restriction base="dms:Text"/>
      </xsd:simpleType>
    </xsd:element>
    <xsd:element name="SharedWithDetails" ma:index="10" nillable="true" ma:displayName="Shared With Details" ma:internalName="SharedWithDetails" ma:readOnly="true">
      <xsd:simpleType>
        <xsd:restriction base="dms:Note">
          <xsd:maxLength value="255"/>
        </xsd:restriction>
      </xsd:simpleType>
    </xsd:element>
    <xsd:element name="LastSharedByUser" ma:index="12" nillable="true" ma:displayName="Last Shared By User" ma:description="" ma:internalName="LastSharedByUser" ma:readOnly="true">
      <xsd:simpleType>
        <xsd:restriction base="dms:Note">
          <xsd:maxLength value="255"/>
        </xsd:restriction>
      </xsd:simpleType>
    </xsd:element>
    <xsd:element name="LastSharedByTime" ma:index="13" nillable="true" ma:displayName="Last Shared By Time" ma:description="" ma:internalName="LastSharedByTim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44b4060f-e070-4511-aeff-5144ea3d9588" elementFormDefault="qualified">
    <xsd:import namespace="http://schemas.microsoft.com/office/2006/documentManagement/types"/>
    <xsd:import namespace="http://schemas.microsoft.com/office/infopath/2007/PartnerControls"/>
    <xsd:element name="myxu" ma:index="11" nillable="true" ma:displayName="Date and Time" ma:internalName="myxu">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LongProperties xmlns="http://schemas.microsoft.com/office/2006/metadata/longProperties"/>
</file>

<file path=customXml/item4.xml><?xml version="1.0" encoding="utf-8"?>
<p:properties xmlns:p="http://schemas.microsoft.com/office/2006/metadata/properties" xmlns:xsi="http://www.w3.org/2001/XMLSchema-instance" xmlns:pc="http://schemas.microsoft.com/office/infopath/2007/PartnerControls">
  <documentManagement>
    <myxu xmlns="44b4060f-e070-4511-aeff-5144ea3d9588" xsi:nil="true"/>
  </documentManagement>
</p:properties>
</file>

<file path=customXml/itemProps1.xml><?xml version="1.0" encoding="utf-8"?>
<ds:datastoreItem xmlns:ds="http://schemas.openxmlformats.org/officeDocument/2006/customXml" ds:itemID="{37DA1D62-F40A-40ED-AF89-73E6384629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4c8f565-a047-4190-8d08-438114edf654"/>
    <ds:schemaRef ds:uri="44b4060f-e070-4511-aeff-5144ea3d958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7EB264B-3BE9-4935-BC5D-7B74AF95ED8D}">
  <ds:schemaRefs>
    <ds:schemaRef ds:uri="http://schemas.microsoft.com/sharepoint/v3/contenttype/forms"/>
  </ds:schemaRefs>
</ds:datastoreItem>
</file>

<file path=customXml/itemProps3.xml><?xml version="1.0" encoding="utf-8"?>
<ds:datastoreItem xmlns:ds="http://schemas.openxmlformats.org/officeDocument/2006/customXml" ds:itemID="{763A8A30-07DE-4467-888D-907A99B9BFD3}">
  <ds:schemaRefs>
    <ds:schemaRef ds:uri="http://schemas.microsoft.com/office/2006/metadata/longProperties"/>
  </ds:schemaRefs>
</ds:datastoreItem>
</file>

<file path=customXml/itemProps4.xml><?xml version="1.0" encoding="utf-8"?>
<ds:datastoreItem xmlns:ds="http://schemas.openxmlformats.org/officeDocument/2006/customXml" ds:itemID="{B0B035F1-5BFB-4EAA-B003-7E7147273A83}">
  <ds:schemaRefs>
    <ds:schemaRef ds:uri="http://purl.org/dc/elements/1.1/"/>
    <ds:schemaRef ds:uri="http://schemas.microsoft.com/office/2006/documentManagement/types"/>
    <ds:schemaRef ds:uri="04c8f565-a047-4190-8d08-438114edf654"/>
    <ds:schemaRef ds:uri="http://purl.org/dc/dcmitype/"/>
    <ds:schemaRef ds:uri="44b4060f-e070-4511-aeff-5144ea3d9588"/>
    <ds:schemaRef ds:uri="http://purl.org/dc/terms/"/>
    <ds:schemaRef ds:uri="http://schemas.microsoft.com/office/2006/metadata/properties"/>
    <ds:schemaRef ds:uri="http://schemas.microsoft.com/office/infopath/2007/PartnerControls"/>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7</vt:i4>
      </vt:variant>
      <vt:variant>
        <vt:lpstr>Named Ranges</vt:lpstr>
      </vt:variant>
      <vt:variant>
        <vt:i4>2</vt:i4>
      </vt:variant>
    </vt:vector>
  </HeadingPairs>
  <TitlesOfParts>
    <vt:vector size="9" baseType="lpstr">
      <vt:lpstr>How to complete BCC</vt:lpstr>
      <vt:lpstr>Study Parameters BCC</vt:lpstr>
      <vt:lpstr>drop down list</vt:lpstr>
      <vt:lpstr>Budget Parameters BCC</vt:lpstr>
      <vt:lpstr>Overall Cost BCC</vt:lpstr>
      <vt:lpstr>Site Costs BCC</vt:lpstr>
      <vt:lpstr>info versions</vt:lpstr>
      <vt:lpstr>'Budget Parameters BCC'!Print_Area</vt:lpstr>
      <vt:lpstr>'Overall Cost BCC'!Print_Titles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KCE Trials Budgeting Template</dc:title>
  <dc:creator>Nevens Hilde</dc:creator>
  <cp:lastModifiedBy>Kass Rasma</cp:lastModifiedBy>
  <cp:lastPrinted>2021-05-19T06:51:42Z</cp:lastPrinted>
  <dcterms:created xsi:type="dcterms:W3CDTF">1999-02-17T14:07:56Z</dcterms:created>
  <dcterms:modified xsi:type="dcterms:W3CDTF">2022-07-15T07:26:29Z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haredWithUsers">
    <vt:lpwstr/>
  </property>
  <property fmtid="{D5CDD505-2E9C-101B-9397-08002B2CF9AE}" pid="3" name="ContentTypeId">
    <vt:lpwstr>0x010100B0FC48F32B665A4681032F5C01273A5E</vt:lpwstr>
  </property>
</Properties>
</file>