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1.04.RCT\2020-90-RCT_Trials\06_Communication\1 Website\Website_20180116\FINAL_DOC_WEBSITE\"/>
    </mc:Choice>
  </mc:AlternateContent>
  <bookViews>
    <workbookView xWindow="-45" yWindow="165" windowWidth="11565" windowHeight="3300" tabRatio="601"/>
  </bookViews>
  <sheets>
    <sheet name="How to complete" sheetId="8" r:id="rId1"/>
    <sheet name="Study Parameters" sheetId="3" r:id="rId2"/>
    <sheet name="Budget Parameters" sheetId="4" r:id="rId3"/>
    <sheet name="Sponsor Cost" sheetId="2" r:id="rId4"/>
    <sheet name="Site Costs BE" sheetId="7" r:id="rId5"/>
    <sheet name="Site Costs NL" sheetId="12" r:id="rId6"/>
    <sheet name="Overall costs" sheetId="11" r:id="rId7"/>
  </sheets>
  <definedNames>
    <definedName name="_xlnm._FilterDatabase" localSheetId="3" hidden="1">'Sponsor Cost'!$A$1:$I$84</definedName>
    <definedName name="_xlnm.Print_Area" localSheetId="2">'Budget Parameters'!$A$1:$E$30</definedName>
    <definedName name="_xlnm.Print_Area" localSheetId="0">'How to complete'!$A$1:$A$8</definedName>
    <definedName name="_xlnm.Print_Titles" localSheetId="3">'Sponsor Cost'!$1:$1</definedName>
    <definedName name="Z_44F680A0_1DE8_11D3_AA98_444553540001_.wvu.PrintArea" localSheetId="3" hidden="1">'Sponsor Cost'!$A$1:$D$78</definedName>
    <definedName name="Z_7C37BAE0_401E_11D3_8EB7_444553540000_.wvu.PrintArea" localSheetId="3" hidden="1">'Sponsor Cost'!$A$1:$D$78</definedName>
  </definedNames>
  <calcPr calcId="152511"/>
  <customWorkbookViews>
    <customWorkbookView name="Van Nieuwenhove Benedikt - Personal View" guid="{7C37BAE0-401E-11D3-8EB7-444553540000}" mergeInterval="0" personalView="1" maximized="1" windowWidth="796" windowHeight="436" tabRatio="601" activeSheetId="1"/>
    <customWorkbookView name="Benedikt Van Nieuwenhove - Personal View" guid="{44F680A0-1DE8-11D3-AA98-444553540001}" mergeInterval="0" personalView="1" maximized="1" windowWidth="1018" windowHeight="607" tabRatio="601" activeSheetId="1"/>
  </customWorkbookViews>
</workbook>
</file>

<file path=xl/calcChain.xml><?xml version="1.0" encoding="utf-8"?>
<calcChain xmlns="http://schemas.openxmlformats.org/spreadsheetml/2006/main">
  <c r="G55" i="2" l="1"/>
  <c r="D55" i="2"/>
  <c r="G33" i="2"/>
  <c r="D38" i="3" l="1"/>
  <c r="B22" i="12" l="1"/>
  <c r="H16" i="12"/>
  <c r="G16" i="12"/>
  <c r="G17" i="12" s="1"/>
  <c r="G18" i="12" s="1"/>
  <c r="F16" i="12"/>
  <c r="E16" i="12"/>
  <c r="D16" i="12"/>
  <c r="C16" i="12"/>
  <c r="B16" i="12" s="1"/>
  <c r="H15" i="12"/>
  <c r="H17" i="12" s="1"/>
  <c r="G15" i="12"/>
  <c r="F15" i="12"/>
  <c r="F17" i="12" s="1"/>
  <c r="E15" i="12"/>
  <c r="D15" i="12"/>
  <c r="D17" i="12" s="1"/>
  <c r="C15" i="12"/>
  <c r="C17" i="12" s="1"/>
  <c r="C18" i="12" s="1"/>
  <c r="B14" i="12"/>
  <c r="H10" i="12"/>
  <c r="G10" i="12"/>
  <c r="F10" i="12"/>
  <c r="E10" i="12"/>
  <c r="D10" i="12"/>
  <c r="C10" i="12"/>
  <c r="B8" i="12"/>
  <c r="B10" i="12" s="1"/>
  <c r="B7" i="12"/>
  <c r="C21" i="7"/>
  <c r="D21" i="7"/>
  <c r="E21" i="7"/>
  <c r="F21" i="7"/>
  <c r="G21" i="7"/>
  <c r="H21" i="7"/>
  <c r="B21" i="7"/>
  <c r="C19" i="7"/>
  <c r="D19" i="7"/>
  <c r="E19" i="7"/>
  <c r="F19" i="7"/>
  <c r="G19" i="7"/>
  <c r="H19" i="7"/>
  <c r="B19" i="7"/>
  <c r="B7" i="7"/>
  <c r="D83" i="2"/>
  <c r="G74" i="2"/>
  <c r="H18" i="12" l="1"/>
  <c r="H19" i="12" s="1"/>
  <c r="H21" i="12" s="1"/>
  <c r="D18" i="12"/>
  <c r="D19" i="12" s="1"/>
  <c r="D21" i="12" s="1"/>
  <c r="B15" i="12"/>
  <c r="B17" i="12" s="1"/>
  <c r="B18" i="12" s="1"/>
  <c r="B19" i="12" s="1"/>
  <c r="B21" i="12" s="1"/>
  <c r="F18" i="12"/>
  <c r="F19" i="12" s="1"/>
  <c r="F21" i="12" s="1"/>
  <c r="E17" i="12"/>
  <c r="C19" i="12"/>
  <c r="C21" i="12" s="1"/>
  <c r="G19" i="12"/>
  <c r="G21" i="12" s="1"/>
  <c r="D33" i="3"/>
  <c r="B23" i="12" l="1"/>
  <c r="E18" i="12"/>
  <c r="E19" i="12" s="1"/>
  <c r="E21" i="12" s="1"/>
  <c r="B26" i="12"/>
  <c r="B32" i="12"/>
  <c r="B28" i="12"/>
  <c r="B27" i="12"/>
  <c r="B30" i="12" s="1"/>
  <c r="C1" i="12"/>
  <c r="B26" i="7"/>
  <c r="B31" i="12" l="1"/>
  <c r="B33" i="12" s="1"/>
  <c r="C5" i="11" s="1"/>
  <c r="D63" i="2"/>
  <c r="D43" i="2"/>
  <c r="D42" i="2"/>
  <c r="D41" i="2"/>
  <c r="D40" i="2"/>
  <c r="D39" i="2"/>
  <c r="D37" i="2"/>
  <c r="H19" i="2"/>
  <c r="G19" i="2"/>
  <c r="F54" i="2" l="1"/>
  <c r="H55" i="2"/>
  <c r="C19" i="3"/>
  <c r="D44" i="2"/>
  <c r="D13" i="2"/>
  <c r="D30" i="2"/>
  <c r="F30" i="2"/>
  <c r="H5" i="2" l="1"/>
  <c r="G5" i="2"/>
  <c r="C24" i="3"/>
  <c r="D29" i="2" l="1"/>
  <c r="D28" i="2"/>
  <c r="D26" i="2"/>
  <c r="D27" i="2"/>
  <c r="D6" i="2"/>
  <c r="D7" i="2"/>
  <c r="C1" i="7"/>
  <c r="G16" i="2"/>
  <c r="H16" i="2" s="1"/>
  <c r="D14" i="2"/>
  <c r="G14" i="2" s="1"/>
  <c r="H14" i="2" s="1"/>
  <c r="G12" i="2"/>
  <c r="H12" i="2" s="1"/>
  <c r="G30" i="2" l="1"/>
  <c r="B28" i="7"/>
  <c r="B27" i="7"/>
  <c r="B30" i="7" s="1"/>
  <c r="B31" i="7" s="1"/>
  <c r="D16" i="7"/>
  <c r="E16" i="7"/>
  <c r="F16" i="7"/>
  <c r="G16" i="7"/>
  <c r="H16" i="7"/>
  <c r="C16" i="7"/>
  <c r="D15" i="7"/>
  <c r="E15" i="7"/>
  <c r="F15" i="7"/>
  <c r="G15" i="7"/>
  <c r="H15" i="7"/>
  <c r="C15" i="7"/>
  <c r="B14" i="7"/>
  <c r="B16" i="7" l="1"/>
  <c r="B15" i="7"/>
  <c r="H30" i="2"/>
  <c r="B8" i="7"/>
  <c r="G48" i="2" l="1"/>
  <c r="H48" i="2" s="1"/>
  <c r="G15" i="2"/>
  <c r="G11" i="2"/>
  <c r="D47" i="2" l="1"/>
  <c r="G34" i="2" l="1"/>
  <c r="H33" i="2"/>
  <c r="F34" i="2"/>
  <c r="H36" i="2"/>
  <c r="G36" i="2" s="1"/>
  <c r="G20" i="2"/>
  <c r="H20" i="2" s="1"/>
  <c r="G68" i="2"/>
  <c r="H68" i="2" s="1"/>
  <c r="G67" i="2"/>
  <c r="H67" i="2" s="1"/>
  <c r="G66" i="2"/>
  <c r="H66" i="2" s="1"/>
  <c r="D34" i="3"/>
  <c r="D64" i="2" s="1"/>
  <c r="F65" i="2"/>
  <c r="H54" i="2"/>
  <c r="H56" i="2" s="1"/>
  <c r="G60" i="2"/>
  <c r="G59" i="2"/>
  <c r="G58" i="2"/>
  <c r="G82" i="2"/>
  <c r="G81" i="2"/>
  <c r="H81" i="2" s="1"/>
  <c r="G80" i="2"/>
  <c r="F37" i="2"/>
  <c r="F38" i="2"/>
  <c r="G38" i="2" s="1"/>
  <c r="H38" i="2" s="1"/>
  <c r="F39" i="2"/>
  <c r="F40" i="2"/>
  <c r="F41" i="2"/>
  <c r="F42" i="2"/>
  <c r="F43" i="2"/>
  <c r="G44" i="2"/>
  <c r="H44" i="2" s="1"/>
  <c r="F63" i="2"/>
  <c r="F64" i="2"/>
  <c r="F73" i="2"/>
  <c r="G73" i="2" s="1"/>
  <c r="H73" i="2" s="1"/>
  <c r="H74" i="2"/>
  <c r="G75" i="2"/>
  <c r="H75" i="2" s="1"/>
  <c r="G76" i="2"/>
  <c r="H76" i="2" s="1"/>
  <c r="G77" i="2"/>
  <c r="H47" i="2"/>
  <c r="F51" i="2"/>
  <c r="G51" i="2" s="1"/>
  <c r="H51" i="2" s="1"/>
  <c r="G24" i="2"/>
  <c r="D25" i="2"/>
  <c r="F25" i="2"/>
  <c r="F26" i="2"/>
  <c r="F27" i="2"/>
  <c r="F28" i="2"/>
  <c r="F29" i="2"/>
  <c r="H11" i="2"/>
  <c r="G13" i="2"/>
  <c r="H13" i="2" s="1"/>
  <c r="H15" i="2"/>
  <c r="H4" i="2"/>
  <c r="G6" i="2"/>
  <c r="G7" i="2"/>
  <c r="H7" i="2" s="1"/>
  <c r="H58" i="2"/>
  <c r="H59" i="2"/>
  <c r="H60" i="2"/>
  <c r="H80" i="2"/>
  <c r="H82" i="2"/>
  <c r="G83" i="2"/>
  <c r="G4" i="2"/>
  <c r="G47" i="2"/>
  <c r="D18" i="2"/>
  <c r="G18" i="2" s="1"/>
  <c r="H18" i="2" s="1"/>
  <c r="D31" i="3"/>
  <c r="D32" i="3"/>
  <c r="D1" i="3"/>
  <c r="C2" i="2"/>
  <c r="I2" i="2"/>
  <c r="H1" i="12" s="1"/>
  <c r="B17" i="7"/>
  <c r="B18" i="7" s="1"/>
  <c r="C17" i="7"/>
  <c r="C18" i="7" s="1"/>
  <c r="D17" i="7"/>
  <c r="E17" i="7"/>
  <c r="F17" i="7"/>
  <c r="G17" i="7"/>
  <c r="H17" i="7"/>
  <c r="E1" i="4"/>
  <c r="B10" i="7"/>
  <c r="H10" i="7"/>
  <c r="F10" i="7"/>
  <c r="G10" i="7"/>
  <c r="E10" i="7"/>
  <c r="D10" i="7"/>
  <c r="C10" i="7"/>
  <c r="B1" i="3"/>
  <c r="C1" i="4"/>
  <c r="H18" i="7" l="1"/>
  <c r="G18" i="7"/>
  <c r="D18" i="7"/>
  <c r="F18" i="7"/>
  <c r="E18" i="7"/>
  <c r="H24" i="2"/>
  <c r="G61" i="2"/>
  <c r="H34" i="2"/>
  <c r="D69" i="2"/>
  <c r="G69" i="2" s="1"/>
  <c r="H69" i="2" s="1"/>
  <c r="G40" i="2"/>
  <c r="H40" i="2" s="1"/>
  <c r="G64" i="2"/>
  <c r="H64" i="2" s="1"/>
  <c r="D17" i="2"/>
  <c r="G17" i="2" s="1"/>
  <c r="D50" i="2"/>
  <c r="G50" i="2" s="1"/>
  <c r="H50" i="2" s="1"/>
  <c r="G43" i="2"/>
  <c r="H43" i="2" s="1"/>
  <c r="G39" i="2"/>
  <c r="H39" i="2" s="1"/>
  <c r="D70" i="2"/>
  <c r="G70" i="2" s="1"/>
  <c r="H70" i="2" s="1"/>
  <c r="D65" i="2"/>
  <c r="G65" i="2" s="1"/>
  <c r="H65" i="2" s="1"/>
  <c r="D49" i="2"/>
  <c r="G49" i="2" s="1"/>
  <c r="H49" i="2" s="1"/>
  <c r="H52" i="2" s="1"/>
  <c r="G84" i="2"/>
  <c r="G29" i="2"/>
  <c r="H29" i="2" s="1"/>
  <c r="G37" i="2"/>
  <c r="H37" i="2" s="1"/>
  <c r="G27" i="2"/>
  <c r="H27" i="2" s="1"/>
  <c r="G41" i="2"/>
  <c r="H41" i="2" s="1"/>
  <c r="G28" i="2"/>
  <c r="H28" i="2" s="1"/>
  <c r="G8" i="2"/>
  <c r="G9" i="2" s="1"/>
  <c r="G63" i="2"/>
  <c r="H63" i="2" s="1"/>
  <c r="G26" i="2"/>
  <c r="H26" i="2" s="1"/>
  <c r="H1" i="7"/>
  <c r="G42" i="2"/>
  <c r="H42" i="2" s="1"/>
  <c r="H61" i="2"/>
  <c r="G54" i="2"/>
  <c r="G56" i="2" s="1"/>
  <c r="H77" i="2"/>
  <c r="H78" i="2" s="1"/>
  <c r="H84" i="2"/>
  <c r="H6" i="2"/>
  <c r="G25" i="2"/>
  <c r="G31" i="2" s="1"/>
  <c r="G78" i="2"/>
  <c r="B22" i="7" l="1"/>
  <c r="B23" i="7" s="1"/>
  <c r="B32" i="7" s="1"/>
  <c r="B33" i="7" s="1"/>
  <c r="B4" i="11" s="1"/>
  <c r="H17" i="2"/>
  <c r="H22" i="2" s="1"/>
  <c r="G22" i="2"/>
  <c r="G88" i="2" s="1"/>
  <c r="G52" i="2"/>
  <c r="H25" i="2"/>
  <c r="H31" i="2" s="1"/>
  <c r="G45" i="2"/>
  <c r="G71" i="2"/>
  <c r="H71" i="2"/>
  <c r="H8" i="2"/>
  <c r="H9" i="2" s="1"/>
  <c r="H45" i="2"/>
  <c r="C8" i="11" l="1"/>
  <c r="B8" i="11"/>
  <c r="H86" i="2"/>
  <c r="G86" i="2"/>
  <c r="G89" i="2" s="1"/>
  <c r="B9" i="11" l="1"/>
  <c r="D8" i="11"/>
  <c r="D9" i="11" s="1"/>
  <c r="C10" i="11"/>
  <c r="C11" i="11" s="1"/>
  <c r="B10" i="11"/>
  <c r="C9" i="11"/>
  <c r="C3" i="11"/>
  <c r="C6" i="11" s="1"/>
  <c r="B3" i="11"/>
  <c r="B6" i="11" s="1"/>
  <c r="D10" i="11" l="1"/>
  <c r="D11" i="11" s="1"/>
  <c r="B11" i="11"/>
  <c r="D6" i="11"/>
</calcChain>
</file>

<file path=xl/comments1.xml><?xml version="1.0" encoding="utf-8"?>
<comments xmlns="http://schemas.openxmlformats.org/spreadsheetml/2006/main">
  <authors>
    <author>Nevens Hilde</author>
  </authors>
  <commentList>
    <comment ref="D1" authorId="0" shapeId="0">
      <text>
        <r>
          <rPr>
            <sz val="9"/>
            <color indexed="81"/>
            <rFont val="Tahoma"/>
            <family val="2"/>
          </rPr>
          <t xml:space="preserve">
will be completed automatically</t>
        </r>
      </text>
    </comment>
  </commentList>
</comments>
</file>

<file path=xl/comments2.xml><?xml version="1.0" encoding="utf-8"?>
<comments xmlns="http://schemas.openxmlformats.org/spreadsheetml/2006/main">
  <authors>
    <author>Nevens Hilde</author>
  </authors>
  <commentList>
    <comment ref="H1" authorId="0" shapeId="0">
      <text>
        <r>
          <rPr>
            <sz val="9"/>
            <color indexed="81"/>
            <rFont val="Tahoma"/>
            <family val="2"/>
          </rPr>
          <t>only include where relevant</t>
        </r>
      </text>
    </comment>
  </commentList>
</comments>
</file>

<file path=xl/sharedStrings.xml><?xml version="1.0" encoding="utf-8"?>
<sst xmlns="http://schemas.openxmlformats.org/spreadsheetml/2006/main" count="438" uniqueCount="304">
  <si>
    <t>Units</t>
  </si>
  <si>
    <t>hours</t>
  </si>
  <si>
    <t>SUM</t>
  </si>
  <si>
    <t>2a</t>
  </si>
  <si>
    <t>No. of units</t>
  </si>
  <si>
    <t>Project Design and Set up</t>
  </si>
  <si>
    <t xml:space="preserve">2b </t>
  </si>
  <si>
    <t>Study Initiation Visit</t>
  </si>
  <si>
    <t>Study Monitoring Visits</t>
  </si>
  <si>
    <t xml:space="preserve">8a </t>
  </si>
  <si>
    <t>Project Management</t>
  </si>
  <si>
    <t xml:space="preserve">8b </t>
  </si>
  <si>
    <t>Shipment and Distribution Services</t>
  </si>
  <si>
    <t>Number of subjects</t>
  </si>
  <si>
    <t>Study timelines</t>
  </si>
  <si>
    <t>Study team involved</t>
  </si>
  <si>
    <t>Position</t>
  </si>
  <si>
    <t>Hourly rate</t>
  </si>
  <si>
    <t>PM</t>
  </si>
  <si>
    <t>CRA</t>
  </si>
  <si>
    <t>Overhead (in %) if applicable:</t>
  </si>
  <si>
    <t>Other budget relevant info</t>
  </si>
  <si>
    <t>Quality Assurance</t>
  </si>
  <si>
    <t>5a</t>
  </si>
  <si>
    <t>Data Management</t>
  </si>
  <si>
    <t>Monitoring</t>
  </si>
  <si>
    <t>External vendor</t>
  </si>
  <si>
    <t>Team member</t>
  </si>
  <si>
    <t>TMF Handling &amp; Administration</t>
  </si>
  <si>
    <t>Closure Visit</t>
  </si>
  <si>
    <t>5b</t>
  </si>
  <si>
    <t>5c</t>
  </si>
  <si>
    <t>6a</t>
  </si>
  <si>
    <t>3d</t>
  </si>
  <si>
    <t>3f</t>
  </si>
  <si>
    <t>5d</t>
  </si>
  <si>
    <t>5e</t>
  </si>
  <si>
    <t>5f</t>
  </si>
  <si>
    <t>11a</t>
  </si>
  <si>
    <t>11c</t>
  </si>
  <si>
    <t>11b</t>
  </si>
  <si>
    <t>11d</t>
  </si>
  <si>
    <t xml:space="preserve">SAE Reconciliation </t>
  </si>
  <si>
    <t>6b</t>
  </si>
  <si>
    <t>6c</t>
  </si>
  <si>
    <t>7a</t>
  </si>
  <si>
    <t>Packaging, blinding, labelling</t>
  </si>
  <si>
    <t>IMP destruction &amp; recovery unused products</t>
  </si>
  <si>
    <t>Unit cost</t>
  </si>
  <si>
    <t>Auditor</t>
  </si>
  <si>
    <t>Administration of Site Payments</t>
  </si>
  <si>
    <t>Archiving</t>
  </si>
  <si>
    <t>2d</t>
  </si>
  <si>
    <t>IMP/Intervention Handling</t>
  </si>
  <si>
    <t>IMP or intervention Accountability</t>
  </si>
  <si>
    <t>Study Parameters</t>
  </si>
  <si>
    <t>Budget Parameters</t>
  </si>
  <si>
    <t>CTA</t>
  </si>
  <si>
    <t>Procedure</t>
  </si>
  <si>
    <t>Screening</t>
  </si>
  <si>
    <t>Treatment Phase</t>
  </si>
  <si>
    <t>Study Treat discontinuation/ Early Termination Visit</t>
  </si>
  <si>
    <t>FU Phase</t>
  </si>
  <si>
    <t>V1</t>
  </si>
  <si>
    <t>V2</t>
  </si>
  <si>
    <t>General Procedures</t>
  </si>
  <si>
    <t>Informed consent</t>
  </si>
  <si>
    <t xml:space="preserve">QoL questionnaires </t>
  </si>
  <si>
    <t>Non Procedure</t>
  </si>
  <si>
    <t>General Site Costs</t>
  </si>
  <si>
    <t>start-up fee</t>
  </si>
  <si>
    <t>Cost per completed patient</t>
  </si>
  <si>
    <t>Total cost per patient</t>
  </si>
  <si>
    <t>Cost (EURO)</t>
  </si>
  <si>
    <t>Actual Date</t>
  </si>
  <si>
    <t>Site selection including feasibility assessment/visit</t>
  </si>
  <si>
    <t>1a</t>
  </si>
  <si>
    <t>1b</t>
  </si>
  <si>
    <t>1c</t>
  </si>
  <si>
    <t>Regulatory and Ethics Review</t>
  </si>
  <si>
    <t xml:space="preserve">Safety </t>
  </si>
  <si>
    <t>Statistics, report and publication</t>
  </si>
  <si>
    <t>Publication, incl revision</t>
  </si>
  <si>
    <t>9a</t>
  </si>
  <si>
    <t>9b</t>
  </si>
  <si>
    <t>9c</t>
  </si>
  <si>
    <t>9d</t>
  </si>
  <si>
    <t>Storage &amp; distribution</t>
  </si>
  <si>
    <t>Study specific equipment</t>
  </si>
  <si>
    <t>External Review</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</si>
  <si>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</si>
  <si>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</si>
  <si>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</si>
  <si>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</si>
  <si>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</si>
  <si>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</si>
  <si>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</si>
  <si>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</si>
  <si>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</si>
  <si>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</si>
  <si>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</si>
  <si>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</si>
  <si>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</si>
  <si>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</si>
  <si>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</si>
  <si>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fixed</t>
  </si>
  <si>
    <t xml:space="preserve">Comments, typical values as guidance </t>
  </si>
  <si>
    <t>Collaborator/site contracts (set-up, negotiation and finalisation)</t>
  </si>
  <si>
    <t>up to 16h per CRA</t>
  </si>
  <si>
    <t>up to 16h</t>
  </si>
  <si>
    <t>Site payment calculation</t>
  </si>
  <si>
    <t>3a</t>
  </si>
  <si>
    <t>3b</t>
  </si>
  <si>
    <t>3c</t>
  </si>
  <si>
    <t>5g</t>
  </si>
  <si>
    <t xml:space="preserve"> (assigned when selected)</t>
  </si>
  <si>
    <t>FPI (First Patient In)</t>
  </si>
  <si>
    <t>Margin incl</t>
  </si>
  <si>
    <t>Overall Cost total</t>
  </si>
  <si>
    <t>LPI (Last Patient In)</t>
  </si>
  <si>
    <t>LPLV (Last Patient Last Visit)</t>
  </si>
  <si>
    <t>DBL (Data Base Lock)</t>
  </si>
  <si>
    <t>CSR (Clinical Study Report)</t>
  </si>
  <si>
    <t>DD/MM/YYYY</t>
  </si>
  <si>
    <t>Study Title</t>
  </si>
  <si>
    <t>Protocol version</t>
  </si>
  <si>
    <t>cells in yellow are to be completed</t>
  </si>
  <si>
    <t>Budget version date</t>
  </si>
  <si>
    <t>Add other roles if relevant</t>
  </si>
  <si>
    <t>HE</t>
  </si>
  <si>
    <t>Total Feasibility and contracts</t>
  </si>
  <si>
    <t>Planned number of remote monitoring contacts per site (for the total duration of the study)</t>
  </si>
  <si>
    <t>2e</t>
  </si>
  <si>
    <t>Total duration of the project (in years)</t>
  </si>
  <si>
    <t>Number of CRAs (min 2)</t>
  </si>
  <si>
    <t>up to 12h per site per year</t>
  </si>
  <si>
    <t>1h per site per payment, assuming 2 payments/yr</t>
  </si>
  <si>
    <t>SN</t>
  </si>
  <si>
    <t>PI</t>
  </si>
  <si>
    <t>Number of visits per subject</t>
  </si>
  <si>
    <t xml:space="preserve"> </t>
  </si>
  <si>
    <t>NA</t>
  </si>
  <si>
    <t>only occasionally applicable</t>
  </si>
  <si>
    <t>typically 4h per file</t>
  </si>
  <si>
    <t>Pharm</t>
  </si>
  <si>
    <t>Co CI</t>
  </si>
  <si>
    <t>PI nonMD</t>
  </si>
  <si>
    <t>START UP</t>
  </si>
  <si>
    <t>per site</t>
  </si>
  <si>
    <t>9e</t>
  </si>
  <si>
    <t>3e</t>
  </si>
  <si>
    <t>Development of Monitoring Plan</t>
  </si>
  <si>
    <t>2000€ for initial submission</t>
  </si>
  <si>
    <t>1000€/collaborator/site - 200€/site if GPs</t>
  </si>
  <si>
    <t>Communication with EC during the Project</t>
  </si>
  <si>
    <t>2000€ per year (if applicable)</t>
  </si>
  <si>
    <t>2000€ per year</t>
  </si>
  <si>
    <t>Follow-up of and reporting of reportable Serious Adverse Events</t>
  </si>
  <si>
    <t>Statistical analysis plan, randomisation and statistical programming</t>
  </si>
  <si>
    <t>8c</t>
  </si>
  <si>
    <t>assuming 2 per year</t>
  </si>
  <si>
    <t>for subsequent meeting if relevant</t>
  </si>
  <si>
    <t>for initial meeting</t>
  </si>
  <si>
    <t>Investigator Meeting(s), results</t>
  </si>
  <si>
    <t>Study Team Meeting/Trial Management Group Meeting, included time from PM, CRA, CTA, CI</t>
  </si>
  <si>
    <t>Investigator Meeting(s), subsequent meeting(s)</t>
  </si>
  <si>
    <t>DSMB Meetings &amp; FU (if needed)</t>
  </si>
  <si>
    <t>DSMB Meetings &amp; FU preparation (if needed)</t>
  </si>
  <si>
    <t>Safety Database set-up and use</t>
  </si>
  <si>
    <t>Investigator meetings (meeting room and catering)</t>
  </si>
  <si>
    <t>Investigator Meeting(s), initial meeting includes time from PM, CI, STAT, CRA, CTA, other (excl meeting room and catering)</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</si>
  <si>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</si>
  <si>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</si>
  <si>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</si>
  <si>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</si>
  <si>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</si>
  <si>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</si>
  <si>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</si>
  <si>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</si>
  <si>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</si>
  <si>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</si>
  <si>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</si>
  <si>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</si>
  <si>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 xml:space="preserve">includes 2 days sponsor site, 2 days investigator site, preparation, reporting and follow-up </t>
  </si>
  <si>
    <t>IMP or placebo dispensing  if applicable</t>
  </si>
  <si>
    <t>Physician time</t>
  </si>
  <si>
    <t>Study Coordinator time (data entry)</t>
  </si>
  <si>
    <t>Communication with Authorities during the Project</t>
  </si>
  <si>
    <t>2f</t>
  </si>
  <si>
    <t>6d</t>
  </si>
  <si>
    <r>
      <rPr>
        <b/>
        <sz val="10"/>
        <color rgb="FFFF0000"/>
        <rFont val="Arial"/>
        <family val="2"/>
      </rPr>
      <t>This excel sheet should be read together with the guidance notes which give more detailed information and practical examples.</t>
    </r>
    <r>
      <rPr>
        <sz val="10"/>
        <rFont val="Arial"/>
        <family val="2"/>
      </rPr>
      <t xml:space="preserve">
Note that cells with data in </t>
    </r>
    <r>
      <rPr>
        <b/>
        <sz val="10"/>
        <color theme="6"/>
        <rFont val="Arial"/>
        <family val="2"/>
      </rPr>
      <t>green</t>
    </r>
    <r>
      <rPr>
        <sz val="10"/>
        <rFont val="Arial"/>
        <family val="2"/>
      </rPr>
      <t xml:space="preserve"> contain formulas and should not be changed as they automatically calculate a total based on data entered in other cells (yellow cells).
</t>
    </r>
    <r>
      <rPr>
        <b/>
        <sz val="10"/>
        <rFont val="Wingdings"/>
        <charset val="2"/>
      </rPr>
      <t/>
    </r>
  </si>
  <si>
    <t>typically 12h to 16h per visit all-in, depending on complexity</t>
  </si>
  <si>
    <t>up to 16h per CRA, per site</t>
  </si>
  <si>
    <t>1000€/site</t>
  </si>
  <si>
    <t>500€ per site</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</si>
  <si>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the linked to formulas in the other tabs. Do not remove or add lines in this tab
</t>
    </r>
  </si>
  <si>
    <t>Total duration of the project FPI to CSR (in months):</t>
  </si>
  <si>
    <t>Total duration of the project where monitoring is needed FPI to DBL (in months):</t>
  </si>
  <si>
    <t>Steering Committee meeting(s), includes time from PM, CI, STAT, EXT, PPI</t>
  </si>
  <si>
    <t>this is an example for medium complexity study in a hospital setting
to be adapted according to training requirement, team involved (eg. 200€ for GP)</t>
  </si>
  <si>
    <t>up to 16h per site</t>
  </si>
  <si>
    <t>up to 3/yr</t>
  </si>
  <si>
    <t>up to 2h every 4 weeks during follow-up period (after recruitment)</t>
  </si>
  <si>
    <t>Recruitment period (in months)</t>
  </si>
  <si>
    <t>up to 2h every 2 weeks  at study start and during active recruitment period</t>
  </si>
  <si>
    <t>FX</t>
  </si>
  <si>
    <t>External vendors/contractors/central review/other</t>
  </si>
  <si>
    <t>Off-site monitoring and site contacts</t>
  </si>
  <si>
    <t>e.g. 4h per contact per site - but will depend on risk assessment, number of patients, number if data points - to be adapted in formula depending on study
can be performed by data manager or CRA</t>
  </si>
  <si>
    <t>Per Patient Cost Belgium</t>
  </si>
  <si>
    <t>Per Patient Cost The Netherlands</t>
  </si>
  <si>
    <t>Archiving (site-specific)</t>
  </si>
  <si>
    <t>Initial Leading Ethics Committee submission BE</t>
  </si>
  <si>
    <t>Initial Leading Ethics Committee submission NL</t>
  </si>
  <si>
    <t>Initial Documentation for the Regulatory Authorities BE</t>
  </si>
  <si>
    <t>Initial Documentation for the Regulatory Authorities NL</t>
  </si>
  <si>
    <t xml:space="preserve">2c </t>
  </si>
  <si>
    <t>2g</t>
  </si>
  <si>
    <t>2h</t>
  </si>
  <si>
    <t>2i</t>
  </si>
  <si>
    <t>fixed cost for travel to sites or meetings</t>
  </si>
  <si>
    <t>Project Management (not included in the above headings) BE</t>
  </si>
  <si>
    <t>Trial</t>
  </si>
  <si>
    <t>Number</t>
  </si>
  <si>
    <t>Total Sponsor costs</t>
  </si>
  <si>
    <t>Number of sites NL</t>
  </si>
  <si>
    <t>Number of sites BE</t>
  </si>
  <si>
    <t>Number of sites in BE</t>
  </si>
  <si>
    <t>Number of sites in NL</t>
  </si>
  <si>
    <t>Total number of sites</t>
  </si>
  <si>
    <t>1d</t>
  </si>
  <si>
    <t>Country specific adaptations and translations</t>
  </si>
  <si>
    <t>• Clinical Study Protocol incl stats, economic input, any rework, meetings
• Subject Information and Consent including translations
• Budget calculation
• KCE-ZonMw contract negotiation
• Amendments</t>
  </si>
  <si>
    <t>Liaison KCE-ZonMw and Project Status Reports</t>
  </si>
  <si>
    <t>Reference</t>
  </si>
  <si>
    <t>Expected number of reportable SAEs</t>
  </si>
  <si>
    <t>3g</t>
  </si>
  <si>
    <t>TOTAL TRIAL</t>
  </si>
  <si>
    <t>Number of subjects screened BE</t>
  </si>
  <si>
    <t>Number of subjects screened NL</t>
  </si>
  <si>
    <t>Number of subjects randomised BE</t>
  </si>
  <si>
    <t>Number of subjects randomised NL</t>
  </si>
  <si>
    <t>Number of subjects completing BE</t>
  </si>
  <si>
    <t>Number of subjects completing NL</t>
  </si>
  <si>
    <t>VAT (in %) if applicable BE</t>
  </si>
  <si>
    <t>VAT (in %) if applicable NL</t>
  </si>
  <si>
    <t>Subject Insurance BE</t>
  </si>
  <si>
    <t>Travel cost for monitoring (including any overnight stay - max 300€/visit)</t>
  </si>
  <si>
    <t>Initial Ethics Committee submission in participating sites  NL</t>
  </si>
  <si>
    <t>Initial Ethics Committee submission in participating sites BE</t>
  </si>
  <si>
    <t>Subject Insurance NL</t>
  </si>
  <si>
    <t>Fees for EC and Authority submission if applicable</t>
  </si>
  <si>
    <t>travel costs monitoring visits abroad</t>
  </si>
  <si>
    <t>2j</t>
  </si>
  <si>
    <t>Planned number of monitoring visits abroad</t>
  </si>
  <si>
    <t>based on 2h per meeting, 2-weekly</t>
  </si>
  <si>
    <t>Amount used to calculate FTE cost</t>
  </si>
  <si>
    <t>7b</t>
  </si>
  <si>
    <t xml:space="preserve">• Design of eCRF
• Design of Clinical Trial Database
• Data Management Plan
</t>
  </si>
  <si>
    <t>• Data Coding AEs
• Data Coding Medication
• Data validation &amp; QC
• Importation of data ( ECG, lab, etc.)
• Programming of queries
• Running query software, cleaning and distributing queries
• Query Resolution
• Database lock</t>
  </si>
  <si>
    <t>Total number of subjects randomised</t>
  </si>
  <si>
    <t>expressed as FTE with a mean cost of 55€ per hour incl margin for the whole trial</t>
  </si>
  <si>
    <t>expressed as FTE with a mean cost of 55€ per hour incl margin per year of trial duration</t>
  </si>
  <si>
    <t xml:space="preserve">depending on the sponsor country this will be number of sites in BE or NL and will also depend on decision of outourcing monitoring to a coordinating centre in the other country (use C23 in case sponsor is in BE) </t>
  </si>
  <si>
    <t>typically €250 per large box, assuming 2 sites in 1 box and 25 yrs archiving including general master file documents</t>
  </si>
  <si>
    <t>e.g. 0,5 FTE (=800h) per year. This is just an indication and needs to be adapted according to number of sites and complexity, extent of monitoring, ...</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</si>
  <si>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 These values should not be changed. </t>
    </r>
  </si>
  <si>
    <t>VAT</t>
  </si>
  <si>
    <t>For all BE sites</t>
  </si>
  <si>
    <t>Costs for all BE patients</t>
  </si>
  <si>
    <t>TOTAL SITE COSTS BE</t>
  </si>
  <si>
    <t>For all NL sites</t>
  </si>
  <si>
    <t>Costs for all NL patients</t>
  </si>
  <si>
    <t>TOTAL SITE COSTS NL</t>
  </si>
  <si>
    <t>• Generation of tables and listings
• Statistical analysis and report
• Clinical Study Report
• Any subsequent analysis and report</t>
  </si>
  <si>
    <t>based on 4h per SAE all-in</t>
  </si>
  <si>
    <t>Travel cost per km</t>
  </si>
  <si>
    <t>Planned number of on-site monitoring visits per site (for the total duration of the study) this does not include initiation and close out visits</t>
  </si>
  <si>
    <t>10a</t>
  </si>
  <si>
    <t>10b</t>
  </si>
  <si>
    <t>10c</t>
  </si>
  <si>
    <t>10d</t>
  </si>
  <si>
    <t>10e</t>
  </si>
  <si>
    <t>IMP/comparator/placebo/device (incl import license if appl)</t>
  </si>
  <si>
    <t>forfait 40€ per participant - formula includes 2 participants per site, adjust if applicable</t>
  </si>
  <si>
    <t xml:space="preserve">Margin </t>
  </si>
  <si>
    <t>Total Budget</t>
  </si>
  <si>
    <t>Procedures SubTotal</t>
  </si>
  <si>
    <t>Non Procedures SubTotal (excl margin)</t>
  </si>
  <si>
    <t>Non Procedures SubTotal (incl margin)</t>
  </si>
  <si>
    <t>BE</t>
  </si>
  <si>
    <t>NL</t>
  </si>
  <si>
    <t>expressed as material cost (=non FTE) for the whole trial</t>
  </si>
  <si>
    <t>Amount used to calculate material cost</t>
  </si>
  <si>
    <t>expressed as material cost (=non FTE) per year of trial duration</t>
  </si>
  <si>
    <t>site BE</t>
  </si>
  <si>
    <t>site NL</t>
  </si>
  <si>
    <t>This tab is automatically calculated and serves for reference to ZonMW and KCE Trials - do not change!</t>
  </si>
  <si>
    <t>Copyright © 2018 by KCE Trials. All rights reserved.
The budget tool and guidelines are developed by KCE Trials. If you wish to use this budget tool outside the KCE Trials Programme or the BeNeFit call, you should contact trials@kce.fgov.be.
Tell us how and why you wish to use the tool. Please include your contact details: name, institution/company, address, telephone number, and email.</t>
  </si>
  <si>
    <r>
      <rPr>
        <b/>
        <sz val="10"/>
        <rFont val="Wingdings"/>
        <charset val="2"/>
      </rPr>
      <t>0</t>
    </r>
    <r>
      <rPr>
        <b/>
        <sz val="10"/>
        <rFont val="Arial"/>
        <family val="2"/>
      </rPr>
      <t xml:space="preserve"> Tab Site costs BE / Site Costs NL</t>
    </r>
    <r>
      <rPr>
        <sz val="10"/>
        <rFont val="Arial"/>
        <family val="2"/>
      </rPr>
      <t xml:space="preserve">
- This tab is to be completed with the estimated budget per study visit for the participating sites (which should be consistent with the table of trial visits and procedures in the protocol)
- The current lay-out is generic and should be made study specific</t>
    </r>
  </si>
  <si>
    <r>
      <rPr>
        <b/>
        <sz val="10"/>
        <rFont val="Wingdings"/>
        <charset val="2"/>
      </rPr>
      <t>0</t>
    </r>
    <r>
      <rPr>
        <b/>
        <sz val="10"/>
        <rFont val="Arial"/>
        <family val="2"/>
      </rPr>
      <t xml:space="preserve"> Tab Sponsor Cost</t>
    </r>
    <r>
      <rPr>
        <sz val="10"/>
        <rFont val="Arial"/>
        <family val="2"/>
      </rPr>
      <t xml:space="preserve">
- This tab needs to be completed with the estimated budget for the whole trial. For some of the activities, a fixed amount is proposed based on the above mentioned rates and real time estimations. In other cases cells needs to be completed if no link to the study parameters tab exists - carefully check formulas and guidelines
- In the case of a fixed amount (FX) the margin is already included.</t>
    </r>
  </si>
  <si>
    <t>indicate the fees that are charged by CMO for evaluation of protocols (NA in Belgium for academic trials)</t>
  </si>
  <si>
    <t>€ 100,00 per patient, for low complexity pragmatic trial
€ 200,00 per patient, for moderate complexity pragmatic trial</t>
  </si>
  <si>
    <t>€ 75.000,00 for low complexity pragmatic trial
€ 125.000 for moderate complexity pragmatic trial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</si>
</sst>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quot;€&quot;\ * #,##0.00_ ;_ &quot;€&quot;\ * \-#,##0.00_ ;_ &quot;€&quot;\ * &quot;-&quot;??_ ;_ @_ "/>
    <numFmt numFmtId="165" formatCode="d/mm/yyyy;@"/>
    <numFmt numFmtId="166" formatCode="d/mm/yy;@"/>
    <numFmt numFmtId="167" formatCode="&quot;€&quot;\ #,##0.00"/>
    <numFmt numFmtId="168" formatCode="_ &quot;€&quot;\ * #,##0.0000_ ;_ &quot;€&quot;\ * \-#,##0.0000_ ;_ &quot;€&quot;\ * &quot;-&quot;??_ ;_ @_ "/>
    <numFmt numFmtId="169" formatCode="_-* #,##0.00\ [$€-813]_-;\-* #,##0.00\ [$€-813]_-;_-* &quot;-&quot;??\ [$€-813]_-;_-@_-"/>
  </numFmts>
  <fonts count="33" x14ac:knownFonts="1">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b/>
      <sz val="12"/>
      <color indexed="8"/>
      <name val="Arial"/>
      <family val="2"/>
    </font>
    <font>
      <sz val="10"/>
      <name val="Arial"/>
      <family val="2"/>
    </font>
    <font>
      <b/>
      <sz val="12"/>
      <name val="Arial"/>
      <family val="2"/>
    </font>
    <font>
      <i/>
      <sz val="8"/>
      <color rgb="FFFF0000"/>
      <name val="Arial"/>
      <family val="2"/>
    </font>
    <font>
      <sz val="9"/>
      <color indexed="81"/>
      <name val="Tahoma"/>
      <family val="2"/>
    </font>
    <font>
      <b/>
      <sz val="9"/>
      <name val="Arial"/>
      <family val="2"/>
    </font>
    <font>
      <b/>
      <sz val="8"/>
      <color indexed="8"/>
      <name val="Arial"/>
      <family val="2"/>
    </font>
    <font>
      <sz val="11"/>
      <color theme="1"/>
      <name val="Arial"/>
      <family val="2"/>
    </font>
    <font>
      <sz val="8"/>
      <color indexed="8"/>
      <name val="Arial"/>
      <family val="2"/>
    </font>
    <font>
      <sz val="8"/>
      <color theme="1"/>
      <name val="Arial"/>
      <family val="2"/>
    </font>
    <font>
      <b/>
      <sz val="8"/>
      <color rgb="FFFF0000"/>
      <name val="Arial"/>
      <family val="2"/>
    </font>
    <font>
      <b/>
      <sz val="9"/>
      <color rgb="FFFF0000"/>
      <name val="Arial"/>
      <family val="2"/>
    </font>
    <font>
      <sz val="12"/>
      <name val="Arial"/>
      <family val="2"/>
    </font>
    <font>
      <sz val="10"/>
      <color rgb="FFFF0000"/>
      <name val="Arial"/>
      <family val="2"/>
    </font>
    <font>
      <sz val="10"/>
      <color theme="6"/>
      <name val="Arial"/>
      <family val="2"/>
    </font>
    <font>
      <b/>
      <sz val="10"/>
      <color theme="6"/>
      <name val="Arial"/>
      <family val="2"/>
    </font>
    <font>
      <b/>
      <sz val="10"/>
      <color rgb="FFFF0000"/>
      <name val="Arial"/>
      <family val="2"/>
    </font>
    <font>
      <b/>
      <sz val="10"/>
      <name val="Wingdings"/>
      <charset val="2"/>
    </font>
    <font>
      <i/>
      <sz val="8"/>
      <name val="Arial"/>
      <family val="2"/>
    </font>
    <font>
      <sz val="10"/>
      <color rgb="FF92D050"/>
      <name val="Arial"/>
      <family val="2"/>
    </font>
    <font>
      <b/>
      <sz val="11"/>
      <color theme="1"/>
      <name val="Calibri"/>
      <family val="2"/>
      <scheme val="minor"/>
    </font>
    <font>
      <sz val="8"/>
      <color theme="6"/>
      <name val="Arial"/>
      <family val="2"/>
    </font>
    <font>
      <b/>
      <sz val="8"/>
      <color theme="6"/>
      <name val="Arial"/>
      <family val="2"/>
    </font>
    <font>
      <b/>
      <sz val="10"/>
      <color theme="5"/>
      <name val="Arial"/>
      <family val="2"/>
    </font>
    <font>
      <i/>
      <sz val="10"/>
      <color rgb="FFFF0000"/>
      <name val="Arial"/>
      <family val="2"/>
    </font>
  </fonts>
  <fills count="9">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2"/>
        <bgColor indexed="64"/>
      </patternFill>
    </fill>
    <fill>
      <patternFill patternType="darkUp">
        <fgColor theme="2"/>
      </patternFill>
    </fill>
  </fills>
  <borders count="39">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6">
    <xf numFmtId="1" fontId="0" fillId="0" borderId="0"/>
    <xf numFmtId="9"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4" fontId="9" fillId="0" borderId="0" applyFont="0" applyFill="0" applyBorder="0" applyAlignment="0" applyProtection="0"/>
  </cellStyleXfs>
  <cellXfs count="200">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8" fillId="0" borderId="10" xfId="0" applyFont="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6" fontId="10"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 fontId="11" fillId="0" borderId="11" xfId="0" applyFont="1" applyBorder="1"/>
    <xf numFmtId="164" fontId="0" fillId="0" borderId="0" xfId="5" applyFont="1" applyFill="1"/>
    <xf numFmtId="165" fontId="10" fillId="2" borderId="14" xfId="0" applyNumberFormat="1" applyFont="1" applyFill="1" applyBorder="1"/>
    <xf numFmtId="167" fontId="5" fillId="0" borderId="13" xfId="5" applyNumberFormat="1" applyFont="1" applyBorder="1" applyAlignment="1">
      <alignment horizontal="left"/>
    </xf>
    <xf numFmtId="167" fontId="6" fillId="2" borderId="4" xfId="0" applyNumberFormat="1" applyFont="1" applyFill="1" applyBorder="1" applyAlignment="1">
      <alignment horizontal="left"/>
    </xf>
    <xf numFmtId="167" fontId="5" fillId="0" borderId="12" xfId="0" applyNumberFormat="1" applyFont="1" applyBorder="1" applyAlignment="1">
      <alignment horizontal="left" wrapText="1"/>
    </xf>
    <xf numFmtId="167" fontId="5" fillId="3" borderId="13" xfId="5" applyNumberFormat="1" applyFont="1" applyFill="1" applyBorder="1" applyAlignment="1">
      <alignment horizontal="left"/>
    </xf>
    <xf numFmtId="167" fontId="4" fillId="0" borderId="0" xfId="0" applyNumberFormat="1" applyFont="1" applyBorder="1" applyAlignment="1">
      <alignment horizontal="left"/>
    </xf>
    <xf numFmtId="167" fontId="5" fillId="0" borderId="13" xfId="0" applyNumberFormat="1" applyFont="1" applyBorder="1" applyAlignment="1">
      <alignment horizontal="left"/>
    </xf>
    <xf numFmtId="1" fontId="2" fillId="0" borderId="13" xfId="0" applyFont="1" applyBorder="1" applyAlignment="1">
      <alignment horizontal="left"/>
    </xf>
    <xf numFmtId="167" fontId="2" fillId="0" borderId="13" xfId="5" applyNumberFormat="1" applyFont="1" applyBorder="1" applyAlignment="1">
      <alignment horizontal="left"/>
    </xf>
    <xf numFmtId="1" fontId="11" fillId="0" borderId="0" xfId="0" applyFont="1" applyBorder="1"/>
    <xf numFmtId="1" fontId="13" fillId="4" borderId="8" xfId="0" applyFont="1" applyFill="1" applyBorder="1"/>
    <xf numFmtId="1" fontId="10" fillId="2" borderId="1" xfId="0" applyFont="1" applyFill="1" applyBorder="1"/>
    <xf numFmtId="1" fontId="10" fillId="2" borderId="4" xfId="0" applyFont="1" applyFill="1" applyBorder="1"/>
    <xf numFmtId="1" fontId="10" fillId="2" borderId="14" xfId="0" applyFont="1" applyFill="1" applyBorder="1"/>
    <xf numFmtId="0" fontId="15" fillId="0" borderId="0" xfId="3" applyFont="1"/>
    <xf numFmtId="164" fontId="16" fillId="0" borderId="0" xfId="4" applyFont="1" applyFill="1" applyBorder="1" applyAlignment="1">
      <alignment horizontal="left" vertical="center" wrapText="1"/>
    </xf>
    <xf numFmtId="0" fontId="14" fillId="0" borderId="0" xfId="2" applyFont="1" applyFill="1" applyBorder="1" applyAlignment="1">
      <alignment horizontal="right" vertical="center" wrapText="1"/>
    </xf>
    <xf numFmtId="0" fontId="17" fillId="0" borderId="0" xfId="3" applyFont="1" applyFill="1"/>
    <xf numFmtId="164" fontId="18" fillId="0" borderId="0" xfId="4" applyFont="1" applyFill="1" applyBorder="1" applyAlignment="1">
      <alignment horizontal="left" vertical="center" wrapText="1"/>
    </xf>
    <xf numFmtId="0" fontId="16" fillId="0" borderId="0" xfId="0" applyNumberFormat="1" applyFont="1" applyFill="1" applyBorder="1" applyAlignment="1">
      <alignment horizontal="left" vertical="center" wrapText="1"/>
    </xf>
    <xf numFmtId="9" fontId="15" fillId="0" borderId="0" xfId="3" applyNumberFormat="1" applyFont="1"/>
    <xf numFmtId="0" fontId="19" fillId="0" borderId="0" xfId="3" applyFont="1"/>
    <xf numFmtId="164" fontId="19" fillId="0" borderId="0" xfId="3" applyNumberFormat="1" applyFont="1"/>
    <xf numFmtId="1" fontId="20" fillId="0" borderId="11" xfId="0" applyFont="1" applyBorder="1"/>
    <xf numFmtId="1" fontId="20" fillId="0" borderId="0" xfId="0" applyFont="1" applyBorder="1"/>
    <xf numFmtId="1" fontId="20" fillId="0" borderId="15" xfId="0" applyFont="1" applyBorder="1"/>
    <xf numFmtId="1" fontId="10" fillId="2" borderId="9" xfId="0" applyFont="1" applyFill="1" applyBorder="1"/>
    <xf numFmtId="1" fontId="0" fillId="5" borderId="0" xfId="0" applyFill="1"/>
    <xf numFmtId="1" fontId="2" fillId="5" borderId="0" xfId="0" applyFont="1" applyFill="1"/>
    <xf numFmtId="1" fontId="2" fillId="0" borderId="0" xfId="0" applyFont="1" applyFill="1"/>
    <xf numFmtId="1" fontId="3" fillId="6" borderId="3" xfId="0" applyFont="1" applyFill="1" applyBorder="1" applyAlignment="1">
      <alignment horizontal="left"/>
    </xf>
    <xf numFmtId="1" fontId="2" fillId="6" borderId="13" xfId="0" applyFont="1" applyFill="1" applyBorder="1" applyAlignment="1">
      <alignment horizontal="left"/>
    </xf>
    <xf numFmtId="1" fontId="3" fillId="6" borderId="6" xfId="0" applyFont="1" applyFill="1" applyBorder="1"/>
    <xf numFmtId="1" fontId="22" fillId="0" borderId="0" xfId="0" applyFont="1"/>
    <xf numFmtId="1" fontId="2" fillId="0" borderId="0" xfId="0" applyFont="1" applyAlignment="1">
      <alignment wrapText="1"/>
    </xf>
    <xf numFmtId="164" fontId="2" fillId="0" borderId="0" xfId="5" applyFont="1" applyFill="1"/>
    <xf numFmtId="164" fontId="0" fillId="0" borderId="0" xfId="5" applyFont="1"/>
    <xf numFmtId="1" fontId="2" fillId="0" borderId="13" xfId="0" applyFont="1" applyBorder="1" applyAlignment="1">
      <alignment horizontal="left" wrapText="1"/>
    </xf>
    <xf numFmtId="1" fontId="2" fillId="0" borderId="0" xfId="0" applyFont="1" applyAlignment="1">
      <alignment horizontal="left" vertical="top" wrapText="1"/>
    </xf>
    <xf numFmtId="167" fontId="22" fillId="0" borderId="13" xfId="5" applyNumberFormat="1" applyFont="1" applyBorder="1" applyAlignment="1">
      <alignment horizontal="left"/>
    </xf>
    <xf numFmtId="1" fontId="22" fillId="0" borderId="13" xfId="0" applyFont="1" applyBorder="1" applyAlignment="1">
      <alignment horizontal="left"/>
    </xf>
    <xf numFmtId="165" fontId="10" fillId="2" borderId="14" xfId="0" applyNumberFormat="1" applyFont="1" applyFill="1" applyBorder="1" applyAlignment="1">
      <alignment horizontal="right" wrapText="1"/>
    </xf>
    <xf numFmtId="1" fontId="5" fillId="0" borderId="13" xfId="0" applyFont="1" applyBorder="1" applyAlignment="1">
      <alignment horizontal="left" wrapText="1"/>
    </xf>
    <xf numFmtId="1" fontId="21" fillId="0" borderId="13" xfId="0" applyFont="1" applyBorder="1" applyAlignment="1">
      <alignment horizontal="left" wrapText="1"/>
    </xf>
    <xf numFmtId="1" fontId="2" fillId="6" borderId="13" xfId="0" applyFont="1" applyFill="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3" fillId="0" borderId="5" xfId="0" applyFont="1" applyBorder="1" applyAlignment="1">
      <alignment wrapText="1"/>
    </xf>
    <xf numFmtId="1" fontId="8" fillId="0" borderId="10"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0" fontId="0" fillId="0" borderId="0" xfId="0" applyNumberFormat="1"/>
    <xf numFmtId="164" fontId="10" fillId="2" borderId="4" xfId="0" applyNumberFormat="1" applyFont="1" applyFill="1" applyBorder="1"/>
    <xf numFmtId="164" fontId="0" fillId="0" borderId="0" xfId="0" applyNumberFormat="1" applyBorder="1"/>
    <xf numFmtId="164" fontId="0" fillId="0" borderId="0" xfId="0" applyNumberFormat="1"/>
    <xf numFmtId="1" fontId="21" fillId="0" borderId="13" xfId="0" applyFont="1" applyFill="1" applyBorder="1" applyAlignment="1">
      <alignment horizontal="left" wrapText="1"/>
    </xf>
    <xf numFmtId="1" fontId="26" fillId="0" borderId="0" xfId="0" applyFont="1"/>
    <xf numFmtId="9" fontId="0" fillId="0" borderId="0" xfId="1" applyFont="1" applyAlignment="1">
      <alignment horizontal="left"/>
    </xf>
    <xf numFmtId="1" fontId="8" fillId="0" borderId="16" xfId="0" applyFont="1" applyBorder="1"/>
    <xf numFmtId="1" fontId="8" fillId="0" borderId="11" xfId="0" applyFont="1" applyBorder="1"/>
    <xf numFmtId="1" fontId="17" fillId="0" borderId="0" xfId="3" applyNumberFormat="1" applyFont="1"/>
    <xf numFmtId="168" fontId="0" fillId="0" borderId="0" xfId="5" applyNumberFormat="1" applyFont="1"/>
    <xf numFmtId="169" fontId="0" fillId="0" borderId="0" xfId="5" applyNumberFormat="1" applyFont="1"/>
    <xf numFmtId="169" fontId="5" fillId="0" borderId="12" xfId="0" applyNumberFormat="1" applyFont="1" applyBorder="1" applyAlignment="1">
      <alignment horizontal="left" wrapText="1"/>
    </xf>
    <xf numFmtId="169" fontId="6" fillId="2" borderId="4" xfId="0" applyNumberFormat="1" applyFont="1" applyFill="1" applyBorder="1" applyAlignment="1">
      <alignment horizontal="left"/>
    </xf>
    <xf numFmtId="169" fontId="5" fillId="0" borderId="13" xfId="5" applyNumberFormat="1" applyFont="1" applyBorder="1" applyAlignment="1">
      <alignment horizontal="left"/>
    </xf>
    <xf numFmtId="169" fontId="2" fillId="0" borderId="13" xfId="5" applyNumberFormat="1" applyFont="1" applyBorder="1" applyAlignment="1">
      <alignment horizontal="left"/>
    </xf>
    <xf numFmtId="169" fontId="23" fillId="3" borderId="13" xfId="5" applyNumberFormat="1" applyFont="1" applyFill="1" applyBorder="1" applyAlignment="1">
      <alignment horizontal="left"/>
    </xf>
    <xf numFmtId="169" fontId="22" fillId="0" borderId="13" xfId="5" applyNumberFormat="1" applyFont="1" applyBorder="1" applyAlignment="1">
      <alignment horizontal="left"/>
    </xf>
    <xf numFmtId="169" fontId="23" fillId="0" borderId="13" xfId="5" applyNumberFormat="1" applyFont="1" applyBorder="1" applyAlignment="1">
      <alignment horizontal="left"/>
    </xf>
    <xf numFmtId="169" fontId="4" fillId="0" borderId="0" xfId="0" applyNumberFormat="1" applyFont="1" applyBorder="1" applyAlignment="1">
      <alignment horizontal="left"/>
    </xf>
    <xf numFmtId="1" fontId="0" fillId="0" borderId="0" xfId="0" applyAlignment="1">
      <alignment wrapText="1"/>
    </xf>
    <xf numFmtId="164" fontId="2" fillId="0" borderId="13" xfId="5" applyFont="1" applyBorder="1" applyAlignment="1">
      <alignment horizontal="left"/>
    </xf>
    <xf numFmtId="164" fontId="22" fillId="0" borderId="13" xfId="5" applyFont="1" applyBorder="1" applyAlignment="1">
      <alignment horizontal="left"/>
    </xf>
    <xf numFmtId="164" fontId="2" fillId="0" borderId="13" xfId="5" applyFont="1" applyFill="1" applyBorder="1" applyAlignment="1">
      <alignment horizontal="left"/>
    </xf>
    <xf numFmtId="164" fontId="22" fillId="0" borderId="13" xfId="5" applyFont="1" applyFill="1" applyBorder="1" applyAlignment="1">
      <alignment horizontal="left"/>
    </xf>
    <xf numFmtId="164" fontId="22" fillId="6" borderId="13" xfId="5" applyFont="1" applyFill="1" applyBorder="1" applyAlignment="1">
      <alignment horizontal="left"/>
    </xf>
    <xf numFmtId="164" fontId="2" fillId="6" borderId="13" xfId="5" applyFont="1" applyFill="1" applyBorder="1" applyAlignment="1">
      <alignment horizontal="left"/>
    </xf>
    <xf numFmtId="164" fontId="23" fillId="3" borderId="13" xfId="5" applyFont="1" applyFill="1" applyBorder="1" applyAlignment="1">
      <alignment horizontal="left"/>
    </xf>
    <xf numFmtId="164" fontId="5" fillId="3" borderId="13" xfId="5" applyFont="1" applyFill="1" applyBorder="1" applyAlignment="1">
      <alignment horizontal="left"/>
    </xf>
    <xf numFmtId="164" fontId="5" fillId="0" borderId="13" xfId="5" applyFont="1" applyBorder="1" applyAlignment="1">
      <alignment horizontal="left"/>
    </xf>
    <xf numFmtId="164" fontId="4" fillId="0" borderId="0" xfId="5" applyFont="1" applyBorder="1" applyAlignment="1">
      <alignment horizontal="left"/>
    </xf>
    <xf numFmtId="164" fontId="5" fillId="4" borderId="13" xfId="5" applyFont="1" applyFill="1" applyBorder="1" applyAlignment="1">
      <alignment horizontal="left"/>
    </xf>
    <xf numFmtId="1" fontId="4" fillId="0" borderId="8" xfId="0" applyFont="1" applyFill="1" applyBorder="1"/>
    <xf numFmtId="1" fontId="3" fillId="0" borderId="0" xfId="0" applyFont="1" applyFill="1"/>
    <xf numFmtId="9" fontId="2" fillId="0" borderId="0" xfId="1" applyFont="1" applyAlignment="1">
      <alignment horizontal="left"/>
    </xf>
    <xf numFmtId="0" fontId="28" fillId="0" borderId="1" xfId="3" applyFont="1" applyBorder="1"/>
    <xf numFmtId="164" fontId="28" fillId="0" borderId="14" xfId="3" applyNumberFormat="1" applyFont="1" applyBorder="1"/>
    <xf numFmtId="1" fontId="3" fillId="0" borderId="6" xfId="0" applyFont="1" applyFill="1" applyBorder="1"/>
    <xf numFmtId="1" fontId="22" fillId="0" borderId="13" xfId="0" applyFont="1" applyFill="1" applyBorder="1" applyAlignment="1">
      <alignment horizontal="left"/>
    </xf>
    <xf numFmtId="1" fontId="2" fillId="0" borderId="13" xfId="0" applyFont="1" applyFill="1" applyBorder="1" applyAlignment="1">
      <alignment horizontal="left" wrapText="1"/>
    </xf>
    <xf numFmtId="1" fontId="0" fillId="0" borderId="0" xfId="0" quotePrefix="1" applyFill="1"/>
    <xf numFmtId="1" fontId="0" fillId="5" borderId="17" xfId="0" applyFill="1" applyBorder="1"/>
    <xf numFmtId="1" fontId="2" fillId="5" borderId="17" xfId="0" applyFont="1" applyFill="1" applyBorder="1"/>
    <xf numFmtId="14" fontId="2" fillId="5" borderId="17" xfId="0" applyNumberFormat="1" applyFont="1" applyFill="1" applyBorder="1"/>
    <xf numFmtId="1" fontId="27" fillId="0" borderId="0" xfId="0" applyFont="1" applyFill="1"/>
    <xf numFmtId="1" fontId="22" fillId="0" borderId="0" xfId="0" applyFont="1" applyFill="1" applyBorder="1"/>
    <xf numFmtId="165" fontId="2" fillId="5" borderId="17" xfId="0" applyNumberFormat="1" applyFont="1" applyFill="1" applyBorder="1"/>
    <xf numFmtId="165" fontId="2" fillId="5" borderId="17" xfId="0" applyNumberFormat="1" applyFont="1" applyFill="1" applyBorder="1" applyAlignment="1">
      <alignment horizontal="right"/>
    </xf>
    <xf numFmtId="9" fontId="0" fillId="0" borderId="0" xfId="1" applyFont="1" applyFill="1" applyAlignment="1">
      <alignment horizontal="left"/>
    </xf>
    <xf numFmtId="9" fontId="0" fillId="0" borderId="0" xfId="0" applyNumberFormat="1" applyFill="1" applyAlignment="1">
      <alignment horizontal="left"/>
    </xf>
    <xf numFmtId="1" fontId="10" fillId="2" borderId="18" xfId="0" applyFont="1" applyFill="1" applyBorder="1"/>
    <xf numFmtId="1" fontId="10" fillId="2" borderId="19" xfId="0" applyFont="1" applyFill="1" applyBorder="1"/>
    <xf numFmtId="1" fontId="10" fillId="2" borderId="20" xfId="0" applyFont="1" applyFill="1" applyBorder="1"/>
    <xf numFmtId="0" fontId="14" fillId="0" borderId="17" xfId="2" applyFont="1" applyBorder="1" applyAlignment="1">
      <alignment horizontal="center" vertical="center"/>
    </xf>
    <xf numFmtId="0" fontId="14" fillId="0" borderId="17" xfId="2" applyFont="1" applyBorder="1" applyAlignment="1">
      <alignment horizontal="center" vertical="center" wrapText="1"/>
    </xf>
    <xf numFmtId="0" fontId="15" fillId="0" borderId="17" xfId="3" applyFont="1" applyBorder="1"/>
    <xf numFmtId="0" fontId="17" fillId="0" borderId="17" xfId="3" applyFont="1" applyBorder="1" applyAlignment="1">
      <alignment horizontal="center"/>
    </xf>
    <xf numFmtId="0" fontId="14" fillId="0" borderId="17" xfId="2" applyFont="1" applyBorder="1" applyAlignment="1">
      <alignment horizontal="left" vertical="center"/>
    </xf>
    <xf numFmtId="0" fontId="15" fillId="0" borderId="17" xfId="3" applyFont="1" applyBorder="1" applyAlignment="1">
      <alignment horizontal="center"/>
    </xf>
    <xf numFmtId="0" fontId="16" fillId="0" borderId="17" xfId="3" applyNumberFormat="1" applyFont="1" applyFill="1" applyBorder="1" applyAlignment="1">
      <alignment horizontal="left" vertical="center" wrapText="1"/>
    </xf>
    <xf numFmtId="164" fontId="29" fillId="0" borderId="17" xfId="4" applyFont="1" applyFill="1" applyBorder="1" applyAlignment="1">
      <alignment horizontal="left" vertical="center" wrapText="1"/>
    </xf>
    <xf numFmtId="164" fontId="16" fillId="0" borderId="17" xfId="4" applyFont="1" applyFill="1" applyBorder="1" applyAlignment="1">
      <alignment horizontal="left" vertical="center" wrapText="1"/>
    </xf>
    <xf numFmtId="0" fontId="15" fillId="8" borderId="17" xfId="3" applyFont="1" applyFill="1" applyBorder="1"/>
    <xf numFmtId="0" fontId="14" fillId="0" borderId="17" xfId="2" applyFont="1" applyFill="1" applyBorder="1" applyAlignment="1">
      <alignment horizontal="left" vertical="center" wrapText="1"/>
    </xf>
    <xf numFmtId="164" fontId="30" fillId="0" borderId="17" xfId="4" applyFont="1" applyFill="1" applyBorder="1" applyAlignment="1">
      <alignment horizontal="left" vertical="center" wrapText="1"/>
    </xf>
    <xf numFmtId="0" fontId="14" fillId="0" borderId="17" xfId="2" applyFont="1" applyFill="1" applyBorder="1" applyAlignment="1" applyProtection="1">
      <alignment horizontal="left" vertical="center" wrapText="1"/>
    </xf>
    <xf numFmtId="0" fontId="14" fillId="0" borderId="17" xfId="2" applyFont="1" applyFill="1" applyBorder="1" applyAlignment="1" applyProtection="1">
      <alignment horizontal="center" vertical="center"/>
    </xf>
    <xf numFmtId="164" fontId="16" fillId="0" borderId="17" xfId="5" applyFont="1" applyFill="1" applyBorder="1" applyAlignment="1">
      <alignment horizontal="left" vertical="center" wrapText="1"/>
    </xf>
    <xf numFmtId="164" fontId="14" fillId="0" borderId="17" xfId="4" applyFont="1" applyFill="1" applyBorder="1" applyAlignment="1">
      <alignment horizontal="left" vertical="center" wrapText="1"/>
    </xf>
    <xf numFmtId="164" fontId="18" fillId="0" borderId="17" xfId="4" applyFont="1" applyFill="1" applyBorder="1" applyAlignment="1">
      <alignment horizontal="left" vertical="center" wrapText="1"/>
    </xf>
    <xf numFmtId="164" fontId="19" fillId="0" borderId="17" xfId="3" applyNumberFormat="1" applyFont="1" applyBorder="1"/>
    <xf numFmtId="0" fontId="16" fillId="0" borderId="17" xfId="2" applyFont="1" applyFill="1" applyBorder="1" applyAlignment="1">
      <alignment horizontal="left" vertical="center" wrapText="1"/>
    </xf>
    <xf numFmtId="164" fontId="19" fillId="0" borderId="0" xfId="3" applyNumberFormat="1" applyFont="1" applyBorder="1"/>
    <xf numFmtId="0" fontId="15" fillId="0" borderId="0" xfId="3" applyFont="1" applyBorder="1"/>
    <xf numFmtId="1" fontId="31" fillId="0" borderId="0" xfId="0" applyFont="1" applyAlignment="1">
      <alignment wrapText="1"/>
    </xf>
    <xf numFmtId="164" fontId="23" fillId="0" borderId="17" xfId="5" applyFont="1" applyBorder="1"/>
    <xf numFmtId="164" fontId="23" fillId="7" borderId="17" xfId="5" applyFont="1" applyFill="1" applyBorder="1"/>
    <xf numFmtId="164" fontId="23" fillId="0" borderId="22" xfId="5" applyFont="1" applyBorder="1"/>
    <xf numFmtId="164" fontId="23" fillId="7" borderId="21" xfId="5" applyFont="1" applyFill="1" applyBorder="1"/>
    <xf numFmtId="164" fontId="23" fillId="0" borderId="21" xfId="5" applyFont="1" applyBorder="1"/>
    <xf numFmtId="1" fontId="23" fillId="0" borderId="23" xfId="0" applyFont="1" applyBorder="1" applyAlignment="1">
      <alignment wrapText="1"/>
    </xf>
    <xf numFmtId="2" fontId="23" fillId="0" borderId="24" xfId="0" applyNumberFormat="1" applyFont="1" applyBorder="1"/>
    <xf numFmtId="2" fontId="23" fillId="0" borderId="25" xfId="0" applyNumberFormat="1" applyFont="1" applyBorder="1"/>
    <xf numFmtId="1" fontId="23" fillId="0" borderId="26" xfId="0" applyFont="1" applyBorder="1" applyAlignment="1">
      <alignment wrapText="1"/>
    </xf>
    <xf numFmtId="2" fontId="23" fillId="0" borderId="21" xfId="0" applyNumberFormat="1" applyFont="1" applyBorder="1"/>
    <xf numFmtId="2" fontId="23" fillId="0" borderId="27" xfId="0" applyNumberFormat="1" applyFont="1" applyBorder="1"/>
    <xf numFmtId="1" fontId="23" fillId="0" borderId="28" xfId="0" applyFont="1" applyBorder="1"/>
    <xf numFmtId="1" fontId="23" fillId="0" borderId="29" xfId="0" applyFont="1" applyBorder="1"/>
    <xf numFmtId="1" fontId="23" fillId="0" borderId="30" xfId="0" applyFont="1" applyBorder="1"/>
    <xf numFmtId="1" fontId="23" fillId="0" borderId="31" xfId="0" applyFont="1" applyBorder="1"/>
    <xf numFmtId="164" fontId="23" fillId="0" borderId="32" xfId="5" applyFont="1" applyBorder="1"/>
    <xf numFmtId="1" fontId="23" fillId="0" borderId="33" xfId="0" applyFont="1" applyBorder="1"/>
    <xf numFmtId="164" fontId="23" fillId="0" borderId="34" xfId="5" applyFont="1" applyBorder="1"/>
    <xf numFmtId="1" fontId="23" fillId="0" borderId="26" xfId="0" applyFont="1" applyBorder="1"/>
    <xf numFmtId="164" fontId="23" fillId="0" borderId="27" xfId="5" applyFont="1" applyBorder="1"/>
    <xf numFmtId="1" fontId="23" fillId="0" borderId="35" xfId="0" applyFont="1" applyBorder="1"/>
    <xf numFmtId="164" fontId="23" fillId="0" borderId="36" xfId="5" applyFont="1" applyBorder="1"/>
    <xf numFmtId="164" fontId="23" fillId="0" borderId="37" xfId="5" applyFont="1" applyBorder="1"/>
    <xf numFmtId="1" fontId="23" fillId="0" borderId="0" xfId="0" applyFont="1" applyBorder="1"/>
    <xf numFmtId="164" fontId="23" fillId="0" borderId="24" xfId="5" applyFont="1" applyBorder="1"/>
    <xf numFmtId="164" fontId="23" fillId="0" borderId="25" xfId="5" applyFont="1" applyBorder="1"/>
    <xf numFmtId="169" fontId="2" fillId="0" borderId="13" xfId="5" applyNumberFormat="1" applyFont="1" applyFill="1" applyBorder="1" applyAlignment="1">
      <alignment horizontal="left"/>
    </xf>
    <xf numFmtId="167" fontId="22" fillId="0" borderId="13" xfId="5" applyNumberFormat="1" applyFont="1" applyFill="1" applyBorder="1" applyAlignment="1">
      <alignment horizontal="left"/>
    </xf>
    <xf numFmtId="1" fontId="0" fillId="0" borderId="0" xfId="0" applyAlignment="1">
      <alignment horizontal="center"/>
    </xf>
    <xf numFmtId="0" fontId="14" fillId="0" borderId="17" xfId="2" applyFont="1" applyBorder="1" applyAlignment="1">
      <alignment horizontal="center" vertical="center"/>
    </xf>
    <xf numFmtId="1" fontId="32" fillId="0" borderId="38" xfId="0" applyFont="1" applyBorder="1" applyAlignment="1">
      <alignment horizontal="center"/>
    </xf>
  </cellXfs>
  <cellStyles count="6">
    <cellStyle name="Currency" xfId="5" builtinId="4"/>
    <cellStyle name="Currency 2" xfId="4"/>
    <cellStyle name="Normal" xfId="0" builtinId="0"/>
    <cellStyle name="Normal 2" xfId="2"/>
    <cellStyle name="Normal 3" xfId="3"/>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tabSelected="1" zoomScale="110" zoomScaleNormal="110" workbookViewId="0">
      <selection activeCell="A6" sqref="A6:A7"/>
    </sheetView>
  </sheetViews>
  <sheetFormatPr defaultRowHeight="12.75" x14ac:dyDescent="0.2"/>
  <cols>
    <col min="1" max="1" width="135.5703125" customWidth="1"/>
  </cols>
  <sheetData>
    <row r="1" spans="1:1" ht="36" customHeight="1" x14ac:dyDescent="0.2">
      <c r="A1" s="78" t="s">
        <v>190</v>
      </c>
    </row>
    <row r="2" spans="1:1" ht="47.85" customHeight="1" x14ac:dyDescent="0.2">
      <c r="A2" s="78" t="s">
        <v>195</v>
      </c>
    </row>
    <row r="3" spans="1:1" ht="38.25" x14ac:dyDescent="0.2">
      <c r="A3" s="78" t="s">
        <v>266</v>
      </c>
    </row>
    <row r="4" spans="1:1" ht="63.75" x14ac:dyDescent="0.2">
      <c r="A4" s="78" t="s">
        <v>300</v>
      </c>
    </row>
    <row r="5" spans="1:1" ht="51" x14ac:dyDescent="0.2">
      <c r="A5" s="78" t="s">
        <v>299</v>
      </c>
    </row>
    <row r="6" spans="1:1" x14ac:dyDescent="0.2">
      <c r="A6" s="197"/>
    </row>
    <row r="7" spans="1:1" x14ac:dyDescent="0.2">
      <c r="A7" s="197"/>
    </row>
    <row r="8" spans="1:1" ht="63.75" x14ac:dyDescent="0.2">
      <c r="A8" s="168" t="s">
        <v>298</v>
      </c>
    </row>
    <row r="9" spans="1:1" x14ac:dyDescent="0.2">
      <c r="A9" s="197"/>
    </row>
    <row r="10" spans="1:1" x14ac:dyDescent="0.2">
      <c r="A10" s="197"/>
    </row>
    <row r="11" spans="1:1" x14ac:dyDescent="0.2">
      <c r="A11" s="197"/>
    </row>
    <row r="12" spans="1:1" x14ac:dyDescent="0.2">
      <c r="A12" s="197"/>
    </row>
    <row r="13" spans="1:1" x14ac:dyDescent="0.2">
      <c r="A13" s="197"/>
    </row>
  </sheetData>
  <mergeCells count="2">
    <mergeCell ref="A6:A7"/>
    <mergeCell ref="A9:A13"/>
  </mergeCells>
  <printOptions gridLines="1"/>
  <pageMargins left="0.70866141732283472" right="0.70866141732283472" top="0.74803149606299213" bottom="0.74803149606299213" header="0.31496062992125984" footer="0.31496062992125984"/>
  <pageSetup paperSize="9" scale="98" orientation="landscape" r:id="rId1"/>
  <headerFooter>
    <oddFooter>&amp;L&amp;"Arial,Cursief"&amp;8&amp;F - &amp;A
Copyright © 2018 by KCE Trials. All rights reserved.&amp;R&amp;"Arial,Cursief"&amp;8&amp;A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45"/>
  <sheetViews>
    <sheetView zoomScaleNormal="100" workbookViewId="0">
      <selection activeCell="D8" sqref="D8"/>
    </sheetView>
  </sheetViews>
  <sheetFormatPr defaultRowHeight="12.75" x14ac:dyDescent="0.2"/>
  <cols>
    <col min="1" max="1" width="48.42578125" customWidth="1"/>
    <col min="2" max="2" width="47.5703125" customWidth="1"/>
    <col min="3" max="3" width="10.5703125" customWidth="1"/>
    <col min="4" max="4" width="24.5703125" customWidth="1"/>
    <col min="5" max="5" width="25.140625" customWidth="1"/>
  </cols>
  <sheetData>
    <row r="1" spans="1:4" ht="16.5" thickBot="1" x14ac:dyDescent="0.3">
      <c r="A1" s="51" t="s">
        <v>222</v>
      </c>
      <c r="B1" s="95" t="str">
        <f>B7</f>
        <v>Number</v>
      </c>
      <c r="C1" s="52"/>
      <c r="D1" s="33" t="str">
        <f>B11</f>
        <v>DD/MM/YYYY</v>
      </c>
    </row>
    <row r="2" spans="1:4" ht="13.5" thickBot="1" x14ac:dyDescent="0.25">
      <c r="A2" s="38" t="s">
        <v>95</v>
      </c>
      <c r="B2" s="96"/>
      <c r="C2" s="30"/>
      <c r="D2" s="31"/>
    </row>
    <row r="3" spans="1:4" ht="16.5" thickBot="1" x14ac:dyDescent="0.3">
      <c r="A3" s="51" t="s">
        <v>55</v>
      </c>
      <c r="B3" s="95"/>
      <c r="C3" s="52"/>
      <c r="D3" s="53"/>
    </row>
    <row r="4" spans="1:4" x14ac:dyDescent="0.2">
      <c r="B4" s="97"/>
    </row>
    <row r="5" spans="1:4" x14ac:dyDescent="0.2">
      <c r="A5" s="15" t="s">
        <v>124</v>
      </c>
      <c r="B5" s="67"/>
    </row>
    <row r="6" spans="1:4" x14ac:dyDescent="0.2">
      <c r="A6" s="15"/>
      <c r="B6" s="34"/>
    </row>
    <row r="7" spans="1:4" x14ac:dyDescent="0.2">
      <c r="A7" s="15" t="s">
        <v>234</v>
      </c>
      <c r="B7" s="136" t="s">
        <v>223</v>
      </c>
      <c r="C7" s="30"/>
      <c r="D7" s="49" t="s">
        <v>115</v>
      </c>
    </row>
    <row r="8" spans="1:4" x14ac:dyDescent="0.2">
      <c r="A8" s="15"/>
      <c r="B8" s="69"/>
      <c r="C8" s="30"/>
      <c r="D8" s="49"/>
    </row>
    <row r="9" spans="1:4" x14ac:dyDescent="0.2">
      <c r="A9" s="15" t="s">
        <v>125</v>
      </c>
      <c r="B9" s="136"/>
    </row>
    <row r="10" spans="1:4" x14ac:dyDescent="0.2">
      <c r="A10" s="15"/>
      <c r="B10" s="69"/>
    </row>
    <row r="11" spans="1:4" x14ac:dyDescent="0.2">
      <c r="A11" s="15" t="s">
        <v>127</v>
      </c>
      <c r="B11" s="137" t="s">
        <v>123</v>
      </c>
    </row>
    <row r="12" spans="1:4" x14ac:dyDescent="0.2">
      <c r="A12" s="15"/>
    </row>
    <row r="13" spans="1:4" x14ac:dyDescent="0.2">
      <c r="A13" s="15" t="s">
        <v>13</v>
      </c>
      <c r="B13" t="s">
        <v>238</v>
      </c>
      <c r="C13" s="135"/>
    </row>
    <row r="14" spans="1:4" x14ac:dyDescent="0.2">
      <c r="A14" s="15"/>
      <c r="B14" t="s">
        <v>239</v>
      </c>
      <c r="C14" s="135"/>
    </row>
    <row r="15" spans="1:4" x14ac:dyDescent="0.2">
      <c r="A15" s="15"/>
      <c r="B15" s="14" t="s">
        <v>240</v>
      </c>
      <c r="C15" s="135"/>
    </row>
    <row r="16" spans="1:4" x14ac:dyDescent="0.2">
      <c r="A16" s="15"/>
      <c r="B16" s="14" t="s">
        <v>241</v>
      </c>
      <c r="C16" s="135"/>
    </row>
    <row r="17" spans="1:5" x14ac:dyDescent="0.2">
      <c r="A17" s="15"/>
      <c r="B17" t="s">
        <v>242</v>
      </c>
      <c r="C17" s="135"/>
    </row>
    <row r="18" spans="1:5" x14ac:dyDescent="0.2">
      <c r="A18" s="15"/>
      <c r="B18" t="s">
        <v>243</v>
      </c>
      <c r="C18" s="135"/>
    </row>
    <row r="19" spans="1:5" x14ac:dyDescent="0.2">
      <c r="A19" s="15"/>
      <c r="B19" t="s">
        <v>260</v>
      </c>
      <c r="C19" s="138">
        <f>C15+C16</f>
        <v>0</v>
      </c>
    </row>
    <row r="20" spans="1:5" x14ac:dyDescent="0.2">
      <c r="A20" s="15" t="s">
        <v>139</v>
      </c>
      <c r="B20" s="35"/>
      <c r="C20" s="135"/>
    </row>
    <row r="21" spans="1:5" x14ac:dyDescent="0.2">
      <c r="A21" s="15" t="s">
        <v>140</v>
      </c>
      <c r="B21" s="36"/>
    </row>
    <row r="22" spans="1:5" x14ac:dyDescent="0.2">
      <c r="A22" s="15" t="s">
        <v>227</v>
      </c>
      <c r="B22" s="35"/>
      <c r="C22" s="135"/>
    </row>
    <row r="23" spans="1:5" x14ac:dyDescent="0.2">
      <c r="A23" s="15" t="s">
        <v>228</v>
      </c>
      <c r="B23" s="35"/>
      <c r="C23" s="135"/>
    </row>
    <row r="24" spans="1:5" x14ac:dyDescent="0.2">
      <c r="A24" s="15" t="s">
        <v>229</v>
      </c>
      <c r="B24" s="35"/>
      <c r="C24" s="139">
        <f>SUM(C22:C23)</f>
        <v>0</v>
      </c>
    </row>
    <row r="25" spans="1:5" x14ac:dyDescent="0.2">
      <c r="A25" s="15"/>
      <c r="B25" s="35"/>
      <c r="C25" s="14"/>
      <c r="D25" t="s">
        <v>74</v>
      </c>
    </row>
    <row r="26" spans="1:5" x14ac:dyDescent="0.2">
      <c r="A26" s="15" t="s">
        <v>14</v>
      </c>
      <c r="B26" s="14" t="s">
        <v>116</v>
      </c>
      <c r="C26" s="37"/>
      <c r="D26" s="140"/>
    </row>
    <row r="27" spans="1:5" x14ac:dyDescent="0.2">
      <c r="B27" s="14" t="s">
        <v>119</v>
      </c>
      <c r="C27" s="34"/>
      <c r="D27" s="140"/>
    </row>
    <row r="28" spans="1:5" x14ac:dyDescent="0.2">
      <c r="B28" s="14" t="s">
        <v>120</v>
      </c>
      <c r="C28" s="34"/>
      <c r="D28" s="140"/>
    </row>
    <row r="29" spans="1:5" x14ac:dyDescent="0.2">
      <c r="B29" s="14" t="s">
        <v>121</v>
      </c>
      <c r="C29" s="34"/>
      <c r="D29" s="140"/>
    </row>
    <row r="30" spans="1:5" x14ac:dyDescent="0.2">
      <c r="B30" s="14" t="s">
        <v>122</v>
      </c>
      <c r="C30" s="34"/>
      <c r="D30" s="141"/>
    </row>
    <row r="31" spans="1:5" x14ac:dyDescent="0.2">
      <c r="B31" s="14" t="s">
        <v>196</v>
      </c>
      <c r="D31" s="73">
        <f>(D30-D26)/30.5</f>
        <v>0</v>
      </c>
      <c r="E31" s="94"/>
    </row>
    <row r="32" spans="1:5" ht="25.5" x14ac:dyDescent="0.2">
      <c r="B32" s="74" t="s">
        <v>197</v>
      </c>
      <c r="D32" s="73">
        <f>(D29-D26)/30.5</f>
        <v>0</v>
      </c>
    </row>
    <row r="33" spans="1:5" x14ac:dyDescent="0.2">
      <c r="B33" s="14" t="s">
        <v>133</v>
      </c>
      <c r="D33" s="73">
        <f>D31/12</f>
        <v>0</v>
      </c>
    </row>
    <row r="34" spans="1:5" x14ac:dyDescent="0.2">
      <c r="B34" s="14" t="s">
        <v>203</v>
      </c>
      <c r="D34" s="73">
        <f>(D27-D26)/30.5</f>
        <v>0</v>
      </c>
    </row>
    <row r="35" spans="1:5" ht="38.25" x14ac:dyDescent="0.2">
      <c r="A35" s="15" t="s">
        <v>25</v>
      </c>
      <c r="B35" s="74" t="s">
        <v>277</v>
      </c>
      <c r="D35" s="135"/>
      <c r="E35" s="14"/>
    </row>
    <row r="36" spans="1:5" ht="25.5" x14ac:dyDescent="0.2">
      <c r="B36" s="74" t="s">
        <v>131</v>
      </c>
      <c r="D36" s="135"/>
    </row>
    <row r="37" spans="1:5" x14ac:dyDescent="0.2">
      <c r="B37" s="74" t="s">
        <v>134</v>
      </c>
      <c r="D37" s="135"/>
    </row>
    <row r="38" spans="1:5" ht="102" x14ac:dyDescent="0.2">
      <c r="B38" s="74" t="s">
        <v>254</v>
      </c>
      <c r="D38" s="134">
        <f>D32*C24</f>
        <v>0</v>
      </c>
      <c r="E38" s="114" t="s">
        <v>263</v>
      </c>
    </row>
    <row r="39" spans="1:5" x14ac:dyDescent="0.2">
      <c r="B39" s="74"/>
    </row>
    <row r="40" spans="1:5" x14ac:dyDescent="0.2">
      <c r="B40" s="74"/>
    </row>
    <row r="41" spans="1:5" x14ac:dyDescent="0.2">
      <c r="A41" s="14" t="s">
        <v>235</v>
      </c>
      <c r="D41" s="135"/>
    </row>
    <row r="45" spans="1:5" x14ac:dyDescent="0.2">
      <c r="A45" s="68" t="s">
        <v>126</v>
      </c>
    </row>
  </sheetData>
  <dataValidations count="1">
    <dataValidation type="whole" allowBlank="1" showInputMessage="1" showErrorMessage="1" sqref="C13:C19">
      <formula1>0</formula1>
      <formula2>1000000</formula2>
    </dataValidation>
  </dataValidations>
  <printOptions gridLines="1"/>
  <pageMargins left="0.70866141732283472" right="0.70866141732283472" top="0.74803149606299213" bottom="0.74803149606299213" header="0.31496062992125984" footer="0.31496062992125984"/>
  <pageSetup paperSize="9" scale="68" orientation="landscape" r:id="rId1"/>
  <headerFooter>
    <oddFooter>&amp;L&amp;"Arial,Cursief"&amp;8&amp;F
Copyright © 2018 by KCE Trials. All rights reserved.&amp;C&amp;"Arial,Cursief"&amp;8&amp;P/&amp;N&amp;R&amp;"Arial,Cursief"&amp;8&amp;A</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zoomScaleNormal="100" workbookViewId="0">
      <selection activeCell="B26" sqref="B26"/>
    </sheetView>
  </sheetViews>
  <sheetFormatPr defaultRowHeight="12.75" x14ac:dyDescent="0.2"/>
  <cols>
    <col min="1" max="1" width="31.42578125" customWidth="1"/>
    <col min="2" max="2" width="13" customWidth="1"/>
    <col min="3" max="3" width="28.5703125" customWidth="1"/>
    <col min="4" max="4" width="38.42578125" customWidth="1"/>
    <col min="5" max="5" width="15.42578125" customWidth="1"/>
  </cols>
  <sheetData>
    <row r="1" spans="1:5" ht="16.5" thickBot="1" x14ac:dyDescent="0.3">
      <c r="A1" s="51" t="s">
        <v>222</v>
      </c>
      <c r="B1" s="52"/>
      <c r="C1" s="52" t="str">
        <f>'Study Parameters'!B7</f>
        <v>Number</v>
      </c>
      <c r="D1" s="52"/>
      <c r="E1" s="33" t="str">
        <f>'Study Parameters'!D1</f>
        <v>DD/MM/YYYY</v>
      </c>
    </row>
    <row r="2" spans="1:5" ht="15.75" thickBot="1" x14ac:dyDescent="0.25">
      <c r="A2" s="63"/>
      <c r="B2" s="64"/>
      <c r="C2" s="64"/>
      <c r="D2" s="64"/>
      <c r="E2" s="65"/>
    </row>
    <row r="3" spans="1:5" ht="16.5" thickBot="1" x14ac:dyDescent="0.3">
      <c r="A3" s="66" t="s">
        <v>56</v>
      </c>
      <c r="B3" s="51"/>
      <c r="C3" s="52"/>
      <c r="D3" s="52"/>
      <c r="E3" s="53"/>
    </row>
    <row r="4" spans="1:5" x14ac:dyDescent="0.2">
      <c r="B4" s="15"/>
    </row>
    <row r="5" spans="1:5" x14ac:dyDescent="0.2">
      <c r="A5" s="15" t="s">
        <v>15</v>
      </c>
    </row>
    <row r="6" spans="1:5" x14ac:dyDescent="0.2">
      <c r="A6" s="15" t="s">
        <v>16</v>
      </c>
      <c r="B6" s="15" t="s">
        <v>17</v>
      </c>
    </row>
    <row r="7" spans="1:5" x14ac:dyDescent="0.2">
      <c r="A7" s="14" t="s">
        <v>18</v>
      </c>
      <c r="B7" s="39">
        <v>50</v>
      </c>
      <c r="C7" s="14" t="s">
        <v>171</v>
      </c>
    </row>
    <row r="8" spans="1:5" x14ac:dyDescent="0.2">
      <c r="A8" s="14" t="s">
        <v>19</v>
      </c>
      <c r="B8" s="39">
        <v>50</v>
      </c>
      <c r="C8" s="14" t="s">
        <v>172</v>
      </c>
    </row>
    <row r="9" spans="1:5" x14ac:dyDescent="0.2">
      <c r="A9" s="14" t="s">
        <v>96</v>
      </c>
      <c r="B9" s="39">
        <v>100</v>
      </c>
      <c r="C9" s="14" t="s">
        <v>173</v>
      </c>
    </row>
    <row r="10" spans="1:5" x14ac:dyDescent="0.2">
      <c r="A10" s="14" t="s">
        <v>145</v>
      </c>
      <c r="B10" s="39">
        <v>80</v>
      </c>
      <c r="C10" s="14" t="s">
        <v>174</v>
      </c>
    </row>
    <row r="11" spans="1:5" x14ac:dyDescent="0.2">
      <c r="A11" s="14" t="s">
        <v>57</v>
      </c>
      <c r="B11" s="39">
        <v>35</v>
      </c>
      <c r="C11" s="14" t="s">
        <v>175</v>
      </c>
    </row>
    <row r="12" spans="1:5" x14ac:dyDescent="0.2">
      <c r="A12" s="14" t="s">
        <v>49</v>
      </c>
      <c r="B12" s="39">
        <v>55</v>
      </c>
      <c r="C12" s="14" t="s">
        <v>49</v>
      </c>
    </row>
    <row r="13" spans="1:5" x14ac:dyDescent="0.2">
      <c r="A13" s="14" t="s">
        <v>99</v>
      </c>
      <c r="B13" s="39">
        <v>60</v>
      </c>
      <c r="C13" s="14" t="s">
        <v>176</v>
      </c>
    </row>
    <row r="14" spans="1:5" x14ac:dyDescent="0.2">
      <c r="A14" s="14" t="s">
        <v>98</v>
      </c>
      <c r="B14" s="39">
        <v>50</v>
      </c>
      <c r="C14" s="14" t="s">
        <v>177</v>
      </c>
    </row>
    <row r="15" spans="1:5" x14ac:dyDescent="0.2">
      <c r="A15" s="14" t="s">
        <v>137</v>
      </c>
      <c r="B15" s="39">
        <v>40</v>
      </c>
      <c r="C15" s="14" t="s">
        <v>178</v>
      </c>
    </row>
    <row r="16" spans="1:5" x14ac:dyDescent="0.2">
      <c r="A16" s="14" t="s">
        <v>129</v>
      </c>
      <c r="B16" s="39">
        <v>60</v>
      </c>
      <c r="C16" s="14" t="s">
        <v>179</v>
      </c>
    </row>
    <row r="17" spans="1:4" x14ac:dyDescent="0.2">
      <c r="A17" s="14" t="s">
        <v>138</v>
      </c>
      <c r="B17" s="75">
        <v>100</v>
      </c>
      <c r="C17" s="14" t="s">
        <v>180</v>
      </c>
    </row>
    <row r="18" spans="1:4" x14ac:dyDescent="0.2">
      <c r="A18" s="14" t="s">
        <v>144</v>
      </c>
      <c r="B18" s="75">
        <v>60</v>
      </c>
      <c r="C18" s="14" t="s">
        <v>181</v>
      </c>
    </row>
    <row r="19" spans="1:4" x14ac:dyDescent="0.2">
      <c r="A19" s="14" t="s">
        <v>146</v>
      </c>
      <c r="B19" s="75">
        <v>80</v>
      </c>
      <c r="C19" s="14" t="s">
        <v>182</v>
      </c>
    </row>
    <row r="20" spans="1:4" x14ac:dyDescent="0.2">
      <c r="A20" s="99" t="s">
        <v>128</v>
      </c>
      <c r="B20" s="75"/>
    </row>
    <row r="21" spans="1:4" x14ac:dyDescent="0.2">
      <c r="A21" s="15" t="s">
        <v>21</v>
      </c>
    </row>
    <row r="22" spans="1:4" x14ac:dyDescent="0.2">
      <c r="A22" s="14" t="s">
        <v>100</v>
      </c>
      <c r="C22" s="100">
        <v>0.1</v>
      </c>
    </row>
    <row r="23" spans="1:4" x14ac:dyDescent="0.2">
      <c r="A23" s="14" t="s">
        <v>20</v>
      </c>
      <c r="C23" s="128" t="s">
        <v>141</v>
      </c>
    </row>
    <row r="24" spans="1:4" x14ac:dyDescent="0.2">
      <c r="A24" s="69" t="s">
        <v>244</v>
      </c>
      <c r="B24" s="34"/>
      <c r="C24" s="142">
        <v>0.21</v>
      </c>
    </row>
    <row r="25" spans="1:4" x14ac:dyDescent="0.2">
      <c r="A25" s="69" t="s">
        <v>245</v>
      </c>
      <c r="B25" s="34"/>
      <c r="C25" s="143">
        <v>0.21</v>
      </c>
    </row>
    <row r="26" spans="1:4" ht="63.75" x14ac:dyDescent="0.2">
      <c r="A26" s="15" t="s">
        <v>147</v>
      </c>
      <c r="B26" s="76">
        <v>1000</v>
      </c>
      <c r="C26" s="14" t="s">
        <v>148</v>
      </c>
      <c r="D26" s="74" t="s">
        <v>199</v>
      </c>
    </row>
    <row r="28" spans="1:4" ht="25.5" x14ac:dyDescent="0.2">
      <c r="A28" s="114" t="s">
        <v>247</v>
      </c>
      <c r="C28" s="105">
        <v>300</v>
      </c>
    </row>
    <row r="29" spans="1:4" x14ac:dyDescent="0.2">
      <c r="A29" s="14" t="s">
        <v>276</v>
      </c>
      <c r="B29" s="104">
        <v>0.34599999999999997</v>
      </c>
    </row>
  </sheetData>
  <printOptions gridLines="1"/>
  <pageMargins left="0.70866141732283472" right="0.70866141732283472" top="0.74803149606299213" bottom="0.74803149606299213" header="0.31496062992125984" footer="0.31496062992125984"/>
  <pageSetup paperSize="9" orientation="landscape" r:id="rId1"/>
  <headerFooter>
    <oddFooter>&amp;L&amp;"Arial,Cursief"&amp;8&amp;F
Copyright © 2018 by KCE Trials. All rights reserved.&amp;C&amp;"Arial,Cursief"&amp;8&amp;P/&amp;N&amp;R&amp;"Arial,Cursief"&amp;8&amp;A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I89"/>
  <sheetViews>
    <sheetView topLeftCell="B1" zoomScaleNormal="100" workbookViewId="0">
      <pane ySplit="1" topLeftCell="A2" activePane="bottomLeft" state="frozen"/>
      <selection pane="bottomLeft" activeCell="B74" sqref="B74"/>
    </sheetView>
  </sheetViews>
  <sheetFormatPr defaultColWidth="9.42578125" defaultRowHeight="11.25" outlineLevelRow="1" x14ac:dyDescent="0.2"/>
  <cols>
    <col min="1" max="1" width="3.5703125" style="3" customWidth="1"/>
    <col min="2" max="2" width="43.5703125" style="1" customWidth="1"/>
    <col min="3" max="3" width="6.5703125" style="23" customWidth="1"/>
    <col min="4" max="4" width="14" style="28" customWidth="1"/>
    <col min="5" max="5" width="10" style="28" customWidth="1"/>
    <col min="6" max="6" width="12.5703125" style="113" customWidth="1"/>
    <col min="7" max="8" width="14.5703125" style="45" customWidth="1"/>
    <col min="9" max="9" width="45.42578125" style="86" customWidth="1"/>
    <col min="10" max="10" width="100.5703125" style="1" bestFit="1" customWidth="1"/>
    <col min="11" max="16384" width="9.42578125" style="1"/>
  </cols>
  <sheetData>
    <row r="1" spans="1:9" s="2" customFormat="1" ht="26.25" thickBot="1" x14ac:dyDescent="0.25">
      <c r="A1" s="7"/>
      <c r="B1" s="5"/>
      <c r="C1" s="18" t="s">
        <v>0</v>
      </c>
      <c r="D1" s="24" t="s">
        <v>4</v>
      </c>
      <c r="E1" s="24" t="s">
        <v>27</v>
      </c>
      <c r="F1" s="106" t="s">
        <v>48</v>
      </c>
      <c r="G1" s="43" t="s">
        <v>73</v>
      </c>
      <c r="H1" s="43" t="s">
        <v>117</v>
      </c>
      <c r="I1" s="24" t="s">
        <v>106</v>
      </c>
    </row>
    <row r="2" spans="1:9" ht="20.25" customHeight="1" thickBot="1" x14ac:dyDescent="0.35">
      <c r="A2" s="9" t="s">
        <v>222</v>
      </c>
      <c r="B2" s="4"/>
      <c r="C2" s="17" t="str">
        <f>'Study Parameters'!B7</f>
        <v>Number</v>
      </c>
      <c r="D2" s="17"/>
      <c r="E2" s="17"/>
      <c r="F2" s="107"/>
      <c r="G2" s="42"/>
      <c r="H2" s="42"/>
      <c r="I2" s="81" t="str">
        <f>'Study Parameters'!D1</f>
        <v>DD/MM/YYYY</v>
      </c>
    </row>
    <row r="3" spans="1:9" ht="15.75" x14ac:dyDescent="0.25">
      <c r="A3" s="13">
        <v>1</v>
      </c>
      <c r="B3" s="13" t="s">
        <v>5</v>
      </c>
      <c r="C3" s="19"/>
      <c r="D3" s="25"/>
      <c r="E3" s="25"/>
      <c r="F3" s="108"/>
      <c r="G3" s="46"/>
      <c r="H3" s="46"/>
      <c r="I3" s="82"/>
    </row>
    <row r="4" spans="1:9" s="2" customFormat="1" ht="67.5" outlineLevel="1" x14ac:dyDescent="0.2">
      <c r="A4" s="7" t="s">
        <v>76</v>
      </c>
      <c r="B4" s="91" t="s">
        <v>232</v>
      </c>
      <c r="C4" s="92"/>
      <c r="D4" s="93"/>
      <c r="E4" s="93" t="s">
        <v>205</v>
      </c>
      <c r="F4" s="117">
        <v>40000</v>
      </c>
      <c r="G4" s="118">
        <f>F4</f>
        <v>40000</v>
      </c>
      <c r="H4" s="118">
        <f>F4</f>
        <v>40000</v>
      </c>
      <c r="I4" s="98"/>
    </row>
    <row r="5" spans="1:9" s="2" customFormat="1" ht="12.75" outlineLevel="1" x14ac:dyDescent="0.2">
      <c r="A5" s="7" t="s">
        <v>77</v>
      </c>
      <c r="B5" s="91" t="s">
        <v>231</v>
      </c>
      <c r="C5" s="92"/>
      <c r="D5" s="93"/>
      <c r="E5" s="93" t="s">
        <v>205</v>
      </c>
      <c r="F5" s="117">
        <v>2000</v>
      </c>
      <c r="G5" s="118">
        <f>F5</f>
        <v>2000</v>
      </c>
      <c r="H5" s="118">
        <f>F5</f>
        <v>2000</v>
      </c>
      <c r="I5" s="98"/>
    </row>
    <row r="6" spans="1:9" s="2" customFormat="1" ht="12.75" outlineLevel="1" x14ac:dyDescent="0.2">
      <c r="A6" s="7" t="s">
        <v>78</v>
      </c>
      <c r="B6" s="10" t="s">
        <v>75</v>
      </c>
      <c r="C6" s="20"/>
      <c r="D6" s="80">
        <f>'Study Parameters'!C24</f>
        <v>0</v>
      </c>
      <c r="E6" s="47" t="s">
        <v>205</v>
      </c>
      <c r="F6" s="115">
        <v>1000</v>
      </c>
      <c r="G6" s="116">
        <f>F6*D6</f>
        <v>0</v>
      </c>
      <c r="H6" s="116">
        <f>G6</f>
        <v>0</v>
      </c>
      <c r="I6" s="77" t="s">
        <v>193</v>
      </c>
    </row>
    <row r="7" spans="1:9" s="2" customFormat="1" ht="12.75" outlineLevel="1" x14ac:dyDescent="0.2">
      <c r="A7" s="7" t="s">
        <v>230</v>
      </c>
      <c r="B7" s="6" t="s">
        <v>107</v>
      </c>
      <c r="C7" s="20"/>
      <c r="D7" s="80">
        <f>'Study Parameters'!C24</f>
        <v>0</v>
      </c>
      <c r="E7" s="47" t="s">
        <v>205</v>
      </c>
      <c r="F7" s="115">
        <v>1000</v>
      </c>
      <c r="G7" s="116">
        <f>F7*D7</f>
        <v>0</v>
      </c>
      <c r="H7" s="116">
        <f>G7</f>
        <v>0</v>
      </c>
      <c r="I7" s="77" t="s">
        <v>153</v>
      </c>
    </row>
    <row r="8" spans="1:9" s="2" customFormat="1" ht="12.75" outlineLevel="1" x14ac:dyDescent="0.2">
      <c r="A8" s="7"/>
      <c r="B8" s="72" t="s">
        <v>130</v>
      </c>
      <c r="C8" s="70"/>
      <c r="D8" s="71"/>
      <c r="E8" s="71"/>
      <c r="F8" s="119"/>
      <c r="G8" s="120">
        <f>SUM(G6:G7)</f>
        <v>0</v>
      </c>
      <c r="H8" s="120">
        <f t="shared" ref="H8" si="0">SUM(H6:H7)</f>
        <v>0</v>
      </c>
      <c r="I8" s="84"/>
    </row>
    <row r="9" spans="1:9" ht="14.1" customHeight="1" x14ac:dyDescent="0.2">
      <c r="A9" s="11" t="s">
        <v>2</v>
      </c>
      <c r="B9" s="12" t="s">
        <v>5</v>
      </c>
      <c r="C9" s="21"/>
      <c r="D9" s="26"/>
      <c r="E9" s="26"/>
      <c r="F9" s="121"/>
      <c r="G9" s="122">
        <f>SUM(G8,G4:G5)</f>
        <v>42000</v>
      </c>
      <c r="H9" s="122">
        <f>SUM(H8,H4:H5)</f>
        <v>42000</v>
      </c>
      <c r="I9" s="85"/>
    </row>
    <row r="10" spans="1:9" ht="15.75" x14ac:dyDescent="0.25">
      <c r="A10" s="13">
        <v>2</v>
      </c>
      <c r="B10" s="13" t="s">
        <v>79</v>
      </c>
      <c r="C10" s="19"/>
      <c r="D10" s="47"/>
      <c r="E10" s="47"/>
      <c r="F10" s="116"/>
      <c r="G10" s="115"/>
      <c r="H10" s="115"/>
      <c r="I10" s="82"/>
    </row>
    <row r="11" spans="1:9" ht="12.75" outlineLevel="1" x14ac:dyDescent="0.2">
      <c r="A11" s="8" t="s">
        <v>3</v>
      </c>
      <c r="B11" s="6" t="s">
        <v>212</v>
      </c>
      <c r="C11" s="20"/>
      <c r="D11" s="47">
        <v>0</v>
      </c>
      <c r="E11" s="47" t="s">
        <v>205</v>
      </c>
      <c r="F11" s="115">
        <v>2000</v>
      </c>
      <c r="G11" s="116">
        <f>D11*F11</f>
        <v>0</v>
      </c>
      <c r="H11" s="116">
        <f t="shared" ref="H11:H20" si="1">G11</f>
        <v>0</v>
      </c>
      <c r="I11" s="77" t="s">
        <v>152</v>
      </c>
    </row>
    <row r="12" spans="1:9" ht="12.75" outlineLevel="1" x14ac:dyDescent="0.2">
      <c r="A12" s="8" t="s">
        <v>6</v>
      </c>
      <c r="B12" s="6" t="s">
        <v>213</v>
      </c>
      <c r="C12" s="20"/>
      <c r="D12" s="47">
        <v>0</v>
      </c>
      <c r="E12" s="47" t="s">
        <v>205</v>
      </c>
      <c r="F12" s="115">
        <v>2000</v>
      </c>
      <c r="G12" s="116">
        <f>D12*F12</f>
        <v>0</v>
      </c>
      <c r="H12" s="116">
        <f t="shared" ref="H12" si="2">G12</f>
        <v>0</v>
      </c>
      <c r="I12" s="77" t="s">
        <v>152</v>
      </c>
    </row>
    <row r="13" spans="1:9" ht="12.75" outlineLevel="1" x14ac:dyDescent="0.2">
      <c r="A13" s="8" t="s">
        <v>216</v>
      </c>
      <c r="B13" s="6" t="s">
        <v>249</v>
      </c>
      <c r="C13" s="20"/>
      <c r="D13" s="80">
        <f>'Study Parameters'!C22</f>
        <v>0</v>
      </c>
      <c r="E13" s="47" t="s">
        <v>205</v>
      </c>
      <c r="F13" s="115">
        <v>500</v>
      </c>
      <c r="G13" s="116">
        <f t="shared" ref="G13:G18" si="3">D13*F13</f>
        <v>0</v>
      </c>
      <c r="H13" s="116">
        <f t="shared" si="1"/>
        <v>0</v>
      </c>
      <c r="I13" s="77" t="s">
        <v>194</v>
      </c>
    </row>
    <row r="14" spans="1:9" ht="12.75" outlineLevel="1" x14ac:dyDescent="0.2">
      <c r="A14" s="8" t="s">
        <v>52</v>
      </c>
      <c r="B14" s="6" t="s">
        <v>248</v>
      </c>
      <c r="C14" s="20"/>
      <c r="D14" s="80">
        <f>'Study Parameters'!C23</f>
        <v>0</v>
      </c>
      <c r="E14" s="47" t="s">
        <v>205</v>
      </c>
      <c r="F14" s="115">
        <v>500</v>
      </c>
      <c r="G14" s="116">
        <f t="shared" ref="G14" si="4">D14*F14</f>
        <v>0</v>
      </c>
      <c r="H14" s="116">
        <f t="shared" ref="H14" si="5">G14</f>
        <v>0</v>
      </c>
      <c r="I14" s="77" t="s">
        <v>194</v>
      </c>
    </row>
    <row r="15" spans="1:9" ht="12.75" outlineLevel="1" x14ac:dyDescent="0.2">
      <c r="A15" s="8" t="s">
        <v>132</v>
      </c>
      <c r="B15" s="6" t="s">
        <v>214</v>
      </c>
      <c r="C15" s="20"/>
      <c r="D15" s="47">
        <v>0</v>
      </c>
      <c r="E15" s="47" t="s">
        <v>205</v>
      </c>
      <c r="F15" s="115">
        <v>2000</v>
      </c>
      <c r="G15" s="116">
        <f t="shared" si="3"/>
        <v>0</v>
      </c>
      <c r="H15" s="116">
        <f t="shared" si="1"/>
        <v>0</v>
      </c>
      <c r="I15" s="77" t="s">
        <v>152</v>
      </c>
    </row>
    <row r="16" spans="1:9" ht="12.75" outlineLevel="1" x14ac:dyDescent="0.2">
      <c r="A16" s="8" t="s">
        <v>188</v>
      </c>
      <c r="B16" s="6" t="s">
        <v>215</v>
      </c>
      <c r="C16" s="20"/>
      <c r="D16" s="47">
        <v>0</v>
      </c>
      <c r="E16" s="47" t="s">
        <v>205</v>
      </c>
      <c r="F16" s="115">
        <v>2000</v>
      </c>
      <c r="G16" s="116">
        <f t="shared" ref="G16" si="6">D16*F16</f>
        <v>0</v>
      </c>
      <c r="H16" s="116">
        <f t="shared" ref="H16" si="7">G16</f>
        <v>0</v>
      </c>
      <c r="I16" s="77" t="s">
        <v>152</v>
      </c>
    </row>
    <row r="17" spans="1:9" ht="12.75" outlineLevel="1" x14ac:dyDescent="0.2">
      <c r="A17" s="8" t="s">
        <v>217</v>
      </c>
      <c r="B17" s="6" t="s">
        <v>154</v>
      </c>
      <c r="C17" s="20"/>
      <c r="D17" s="80">
        <f>'Study Parameters'!D33</f>
        <v>0</v>
      </c>
      <c r="E17" s="47" t="s">
        <v>205</v>
      </c>
      <c r="F17" s="115">
        <v>2000</v>
      </c>
      <c r="G17" s="116">
        <f t="shared" si="3"/>
        <v>0</v>
      </c>
      <c r="H17" s="116">
        <f t="shared" si="1"/>
        <v>0</v>
      </c>
      <c r="I17" s="77" t="s">
        <v>156</v>
      </c>
    </row>
    <row r="18" spans="1:9" ht="12.75" outlineLevel="1" x14ac:dyDescent="0.2">
      <c r="A18" s="8" t="s">
        <v>218</v>
      </c>
      <c r="B18" s="6" t="s">
        <v>187</v>
      </c>
      <c r="C18" s="20"/>
      <c r="D18" s="80">
        <f>'Study Parameters'!D33</f>
        <v>0</v>
      </c>
      <c r="E18" s="47" t="s">
        <v>205</v>
      </c>
      <c r="F18" s="115">
        <v>2000</v>
      </c>
      <c r="G18" s="116">
        <f t="shared" si="3"/>
        <v>0</v>
      </c>
      <c r="H18" s="116">
        <f t="shared" si="1"/>
        <v>0</v>
      </c>
      <c r="I18" s="77" t="s">
        <v>155</v>
      </c>
    </row>
    <row r="19" spans="1:9" ht="12.75" outlineLevel="1" x14ac:dyDescent="0.2">
      <c r="A19" s="8" t="s">
        <v>219</v>
      </c>
      <c r="B19" s="6" t="s">
        <v>246</v>
      </c>
      <c r="C19" s="20"/>
      <c r="D19" s="80"/>
      <c r="E19" s="47"/>
      <c r="F19" s="109"/>
      <c r="G19" s="48">
        <f>F19</f>
        <v>0</v>
      </c>
      <c r="H19" s="48">
        <f t="shared" si="1"/>
        <v>0</v>
      </c>
      <c r="I19" s="77"/>
    </row>
    <row r="20" spans="1:9" ht="12.75" outlineLevel="1" x14ac:dyDescent="0.2">
      <c r="A20" s="8" t="s">
        <v>219</v>
      </c>
      <c r="B20" s="6" t="s">
        <v>250</v>
      </c>
      <c r="C20" s="20"/>
      <c r="D20" s="47"/>
      <c r="E20" s="47"/>
      <c r="F20" s="111"/>
      <c r="G20" s="48">
        <f>F20</f>
        <v>0</v>
      </c>
      <c r="H20" s="48">
        <f t="shared" si="1"/>
        <v>0</v>
      </c>
      <c r="I20" s="83"/>
    </row>
    <row r="21" spans="1:9" s="127" customFormat="1" ht="38.25" outlineLevel="1" x14ac:dyDescent="0.2">
      <c r="A21" s="126" t="s">
        <v>253</v>
      </c>
      <c r="B21" s="131" t="s">
        <v>251</v>
      </c>
      <c r="C21" s="92"/>
      <c r="D21" s="132"/>
      <c r="E21" s="93"/>
      <c r="F21" s="195"/>
      <c r="H21" s="196"/>
      <c r="I21" s="77" t="s">
        <v>301</v>
      </c>
    </row>
    <row r="22" spans="1:9" ht="14.1" customHeight="1" x14ac:dyDescent="0.2">
      <c r="A22" s="11" t="s">
        <v>2</v>
      </c>
      <c r="B22" s="12"/>
      <c r="C22" s="21"/>
      <c r="D22" s="26"/>
      <c r="E22" s="26"/>
      <c r="F22" s="110"/>
      <c r="G22" s="44">
        <f>SUM(G11:G21)</f>
        <v>0</v>
      </c>
      <c r="H22" s="44">
        <f>SUM(H11:H21)</f>
        <v>0</v>
      </c>
      <c r="I22" s="85"/>
    </row>
    <row r="23" spans="1:9" ht="15.75" x14ac:dyDescent="0.25">
      <c r="A23" s="13">
        <v>3</v>
      </c>
      <c r="B23" s="13" t="s">
        <v>25</v>
      </c>
      <c r="C23" s="19"/>
      <c r="D23" s="25"/>
      <c r="E23" s="25"/>
      <c r="F23" s="112"/>
      <c r="G23" s="41"/>
      <c r="H23" s="48"/>
      <c r="I23" s="82"/>
    </row>
    <row r="24" spans="1:9" ht="12.75" outlineLevel="1" x14ac:dyDescent="0.2">
      <c r="A24" s="8" t="s">
        <v>111</v>
      </c>
      <c r="B24" s="6" t="s">
        <v>151</v>
      </c>
      <c r="C24" s="20"/>
      <c r="D24" s="80"/>
      <c r="E24" s="47" t="s">
        <v>205</v>
      </c>
      <c r="F24" s="115">
        <v>1600</v>
      </c>
      <c r="G24" s="115">
        <f>F24</f>
        <v>1600</v>
      </c>
      <c r="H24" s="115">
        <f>G24</f>
        <v>1600</v>
      </c>
      <c r="I24" s="77"/>
    </row>
    <row r="25" spans="1:9" ht="12.75" outlineLevel="1" x14ac:dyDescent="0.2">
      <c r="A25" s="8" t="s">
        <v>112</v>
      </c>
      <c r="B25" s="6" t="s">
        <v>101</v>
      </c>
      <c r="C25" s="20" t="s">
        <v>1</v>
      </c>
      <c r="D25" s="80">
        <f>16*'Study Parameters'!D37</f>
        <v>0</v>
      </c>
      <c r="E25" s="47" t="s">
        <v>19</v>
      </c>
      <c r="F25" s="116">
        <f>VLOOKUP(E25,'Budget Parameters'!$A$7:$B$18,2,FALSE)</f>
        <v>50</v>
      </c>
      <c r="G25" s="116">
        <f t="shared" ref="G25:G29" si="8">D25*F25</f>
        <v>0</v>
      </c>
      <c r="H25" s="116">
        <f>G25+(G25*'Budget Parameters'!$C$22)</f>
        <v>0</v>
      </c>
      <c r="I25" s="77" t="s">
        <v>108</v>
      </c>
    </row>
    <row r="26" spans="1:9" ht="12.75" outlineLevel="1" x14ac:dyDescent="0.2">
      <c r="A26" s="8" t="s">
        <v>113</v>
      </c>
      <c r="B26" s="6" t="s">
        <v>7</v>
      </c>
      <c r="C26" s="20" t="s">
        <v>1</v>
      </c>
      <c r="D26" s="80">
        <f>16*'Study Parameters'!C24</f>
        <v>0</v>
      </c>
      <c r="E26" s="47" t="s">
        <v>19</v>
      </c>
      <c r="F26" s="116">
        <f>VLOOKUP(E26,'Budget Parameters'!$A$7:$B$18,2,FALSE)</f>
        <v>50</v>
      </c>
      <c r="G26" s="116">
        <f t="shared" si="8"/>
        <v>0</v>
      </c>
      <c r="H26" s="116">
        <f>G26+(G26*'Budget Parameters'!$C$22)</f>
        <v>0</v>
      </c>
      <c r="I26" s="77" t="s">
        <v>200</v>
      </c>
    </row>
    <row r="27" spans="1:9" ht="25.5" outlineLevel="1" x14ac:dyDescent="0.2">
      <c r="A27" s="8" t="s">
        <v>33</v>
      </c>
      <c r="B27" s="6" t="s">
        <v>8</v>
      </c>
      <c r="C27" s="20" t="s">
        <v>1</v>
      </c>
      <c r="D27" s="80">
        <f>16*'Study Parameters'!C24*'Study Parameters'!D35</f>
        <v>0</v>
      </c>
      <c r="E27" s="47" t="s">
        <v>19</v>
      </c>
      <c r="F27" s="116">
        <f>VLOOKUP(E27,'Budget Parameters'!$A$7:$B$18,2,FALSE)</f>
        <v>50</v>
      </c>
      <c r="G27" s="116">
        <f t="shared" si="8"/>
        <v>0</v>
      </c>
      <c r="H27" s="116">
        <f>G27+(G27*'Budget Parameters'!$C$22)</f>
        <v>0</v>
      </c>
      <c r="I27" s="77" t="s">
        <v>191</v>
      </c>
    </row>
    <row r="28" spans="1:9" ht="12.75" outlineLevel="1" x14ac:dyDescent="0.2">
      <c r="A28" s="8" t="s">
        <v>150</v>
      </c>
      <c r="B28" s="6" t="s">
        <v>29</v>
      </c>
      <c r="C28" s="20" t="s">
        <v>1</v>
      </c>
      <c r="D28" s="80">
        <f>16*'Study Parameters'!C24</f>
        <v>0</v>
      </c>
      <c r="E28" s="47" t="s">
        <v>19</v>
      </c>
      <c r="F28" s="116">
        <f>VLOOKUP(E28,'Budget Parameters'!$A$7:$B$18,2,FALSE)</f>
        <v>50</v>
      </c>
      <c r="G28" s="116">
        <f t="shared" si="8"/>
        <v>0</v>
      </c>
      <c r="H28" s="116">
        <f>G28+(G28*'Budget Parameters'!$C$22)</f>
        <v>0</v>
      </c>
      <c r="I28" s="77" t="s">
        <v>192</v>
      </c>
    </row>
    <row r="29" spans="1:9" ht="51" outlineLevel="1" x14ac:dyDescent="0.2">
      <c r="A29" s="8" t="s">
        <v>34</v>
      </c>
      <c r="B29" s="6" t="s">
        <v>207</v>
      </c>
      <c r="C29" s="20" t="s">
        <v>1</v>
      </c>
      <c r="D29" s="80">
        <f>4*'Study Parameters'!C24*'Study Parameters'!D36</f>
        <v>0</v>
      </c>
      <c r="E29" s="47" t="s">
        <v>19</v>
      </c>
      <c r="F29" s="116">
        <f>VLOOKUP(E29,'Budget Parameters'!$A$7:$B$18,2,FALSE)</f>
        <v>50</v>
      </c>
      <c r="G29" s="116">
        <f t="shared" si="8"/>
        <v>0</v>
      </c>
      <c r="H29" s="116">
        <f>G29+(G29*'Budget Parameters'!$C$22)</f>
        <v>0</v>
      </c>
      <c r="I29" s="77" t="s">
        <v>208</v>
      </c>
    </row>
    <row r="30" spans="1:9" s="127" customFormat="1" ht="12.75" outlineLevel="1" x14ac:dyDescent="0.2">
      <c r="A30" s="126" t="s">
        <v>236</v>
      </c>
      <c r="B30" s="131" t="s">
        <v>252</v>
      </c>
      <c r="C30" s="92" t="s">
        <v>1</v>
      </c>
      <c r="D30" s="132">
        <f>'Study Parameters'!D38</f>
        <v>0</v>
      </c>
      <c r="E30" s="93" t="s">
        <v>205</v>
      </c>
      <c r="F30" s="118">
        <f>'Budget Parameters'!C28</f>
        <v>300</v>
      </c>
      <c r="G30" s="118">
        <f t="shared" ref="G30" si="9">D30*F30</f>
        <v>0</v>
      </c>
      <c r="H30" s="118">
        <f>G30+(G30*'Budget Parameters'!$C$22)</f>
        <v>0</v>
      </c>
      <c r="I30" s="133" t="s">
        <v>220</v>
      </c>
    </row>
    <row r="31" spans="1:9" ht="12.75" x14ac:dyDescent="0.2">
      <c r="A31" s="11" t="s">
        <v>2</v>
      </c>
      <c r="B31" s="12"/>
      <c r="C31" s="21"/>
      <c r="D31" s="26"/>
      <c r="E31" s="26"/>
      <c r="F31" s="121"/>
      <c r="G31" s="122">
        <f>SUM(G24:G30)</f>
        <v>1600</v>
      </c>
      <c r="H31" s="122">
        <f>SUM(H24:H30)</f>
        <v>1600</v>
      </c>
      <c r="I31" s="85"/>
    </row>
    <row r="32" spans="1:9" ht="15.75" x14ac:dyDescent="0.25">
      <c r="A32" s="13">
        <v>4</v>
      </c>
      <c r="B32" s="13" t="s">
        <v>22</v>
      </c>
      <c r="C32" s="19"/>
      <c r="D32" s="47"/>
      <c r="E32" s="47"/>
      <c r="F32" s="116"/>
      <c r="G32" s="115"/>
      <c r="H32" s="115"/>
      <c r="I32" s="82"/>
    </row>
    <row r="33" spans="1:9" ht="15.75" x14ac:dyDescent="0.25">
      <c r="A33" s="101"/>
      <c r="B33" s="102"/>
      <c r="C33" s="19"/>
      <c r="D33" s="47"/>
      <c r="E33" s="47" t="s">
        <v>205</v>
      </c>
      <c r="F33" s="115">
        <v>6000</v>
      </c>
      <c r="G33" s="115">
        <f>F33</f>
        <v>6000</v>
      </c>
      <c r="H33" s="115">
        <f>G33</f>
        <v>6000</v>
      </c>
      <c r="I33" s="82"/>
    </row>
    <row r="34" spans="1:9" ht="25.5" x14ac:dyDescent="0.2">
      <c r="A34" s="11" t="s">
        <v>2</v>
      </c>
      <c r="B34" s="12"/>
      <c r="C34" s="21"/>
      <c r="D34" s="26"/>
      <c r="E34" s="26"/>
      <c r="F34" s="122">
        <f>SUM(F33)</f>
        <v>6000</v>
      </c>
      <c r="G34" s="122">
        <f t="shared" ref="G34:H34" si="10">SUM(G33)</f>
        <v>6000</v>
      </c>
      <c r="H34" s="122">
        <f t="shared" si="10"/>
        <v>6000</v>
      </c>
      <c r="I34" s="85" t="s">
        <v>183</v>
      </c>
    </row>
    <row r="35" spans="1:9" ht="15.75" x14ac:dyDescent="0.25">
      <c r="A35" s="13">
        <v>5</v>
      </c>
      <c r="B35" s="13" t="s">
        <v>28</v>
      </c>
      <c r="C35" s="19"/>
      <c r="D35" s="25"/>
      <c r="E35" s="25"/>
      <c r="F35" s="112"/>
      <c r="G35" s="41"/>
      <c r="H35" s="48"/>
      <c r="I35" s="83"/>
    </row>
    <row r="36" spans="1:9" ht="12.75" outlineLevel="1" x14ac:dyDescent="0.2">
      <c r="A36" s="8" t="s">
        <v>23</v>
      </c>
      <c r="B36" s="6" t="s">
        <v>103</v>
      </c>
      <c r="C36" s="20"/>
      <c r="D36" s="47"/>
      <c r="E36" s="47" t="s">
        <v>205</v>
      </c>
      <c r="F36" s="115">
        <v>1000</v>
      </c>
      <c r="G36" s="79">
        <f>H36</f>
        <v>1000</v>
      </c>
      <c r="H36" s="79">
        <f>F36</f>
        <v>1000</v>
      </c>
      <c r="I36" s="77"/>
    </row>
    <row r="37" spans="1:9" ht="12.75" outlineLevel="1" x14ac:dyDescent="0.2">
      <c r="A37" s="8" t="s">
        <v>30</v>
      </c>
      <c r="B37" s="6" t="s">
        <v>104</v>
      </c>
      <c r="C37" s="20" t="s">
        <v>1</v>
      </c>
      <c r="D37" s="80">
        <f>4*'Study Parameters'!C24</f>
        <v>0</v>
      </c>
      <c r="E37" s="47" t="s">
        <v>57</v>
      </c>
      <c r="F37" s="116">
        <f>VLOOKUP(E37,'Budget Parameters'!$A$7:$B$18,2,FALSE)</f>
        <v>35</v>
      </c>
      <c r="G37" s="116">
        <f t="shared" ref="G37:G44" si="11">F37*D37</f>
        <v>0</v>
      </c>
      <c r="H37" s="116">
        <f>G37+(G37*'Budget Parameters'!$C$22)</f>
        <v>0</v>
      </c>
      <c r="I37" s="77" t="s">
        <v>143</v>
      </c>
    </row>
    <row r="38" spans="1:9" ht="12.75" outlineLevel="1" x14ac:dyDescent="0.2">
      <c r="A38" s="8" t="s">
        <v>31</v>
      </c>
      <c r="B38" s="6" t="s">
        <v>12</v>
      </c>
      <c r="C38" s="20" t="s">
        <v>1</v>
      </c>
      <c r="D38" s="47"/>
      <c r="E38" s="47" t="s">
        <v>57</v>
      </c>
      <c r="F38" s="116">
        <f>VLOOKUP(E38,'Budget Parameters'!$A$7:$B$18,2,FALSE)</f>
        <v>35</v>
      </c>
      <c r="G38" s="116">
        <f t="shared" si="11"/>
        <v>0</v>
      </c>
      <c r="H38" s="116">
        <f>G38+(G38*'Budget Parameters'!$C$22)</f>
        <v>0</v>
      </c>
      <c r="I38" s="77" t="s">
        <v>142</v>
      </c>
    </row>
    <row r="39" spans="1:9" ht="12.75" outlineLevel="1" x14ac:dyDescent="0.2">
      <c r="A39" s="8" t="s">
        <v>35</v>
      </c>
      <c r="B39" s="6" t="s">
        <v>102</v>
      </c>
      <c r="C39" s="20" t="s">
        <v>1</v>
      </c>
      <c r="D39" s="80">
        <f>12*'Study Parameters'!C24*'Study Parameters'!D33</f>
        <v>0</v>
      </c>
      <c r="E39" s="47" t="s">
        <v>57</v>
      </c>
      <c r="F39" s="116">
        <f>VLOOKUP(E39,'Budget Parameters'!$A$7:$B$18,2,FALSE)</f>
        <v>35</v>
      </c>
      <c r="G39" s="116">
        <f t="shared" si="11"/>
        <v>0</v>
      </c>
      <c r="H39" s="116">
        <f>G39+(G39*'Budget Parameters'!$C$22)</f>
        <v>0</v>
      </c>
      <c r="I39" s="77" t="s">
        <v>135</v>
      </c>
    </row>
    <row r="40" spans="1:9" ht="12.75" outlineLevel="1" x14ac:dyDescent="0.2">
      <c r="A40" s="8" t="s">
        <v>36</v>
      </c>
      <c r="B40" s="6" t="s">
        <v>110</v>
      </c>
      <c r="C40" s="20" t="s">
        <v>1</v>
      </c>
      <c r="D40" s="80">
        <f>2*'Study Parameters'!$C$24*'Study Parameters'!$D$33</f>
        <v>0</v>
      </c>
      <c r="E40" s="47" t="s">
        <v>19</v>
      </c>
      <c r="F40" s="116">
        <f>VLOOKUP(E40,'Budget Parameters'!$A$7:$B$18,2,FALSE)</f>
        <v>50</v>
      </c>
      <c r="G40" s="116">
        <f t="shared" si="11"/>
        <v>0</v>
      </c>
      <c r="H40" s="116">
        <f>G40+(G40*'Budget Parameters'!$C$22)</f>
        <v>0</v>
      </c>
      <c r="I40" s="77" t="s">
        <v>136</v>
      </c>
    </row>
    <row r="41" spans="1:9" ht="12.75" outlineLevel="1" x14ac:dyDescent="0.2">
      <c r="A41" s="8" t="s">
        <v>36</v>
      </c>
      <c r="B41" s="6" t="s">
        <v>110</v>
      </c>
      <c r="C41" s="20" t="s">
        <v>1</v>
      </c>
      <c r="D41" s="80">
        <f>2*'Study Parameters'!$C$24*'Study Parameters'!$D$33</f>
        <v>0</v>
      </c>
      <c r="E41" s="47" t="s">
        <v>98</v>
      </c>
      <c r="F41" s="116">
        <f>VLOOKUP(E41,'Budget Parameters'!$A$7:$B$18,2,FALSE)</f>
        <v>50</v>
      </c>
      <c r="G41" s="116">
        <f t="shared" si="11"/>
        <v>0</v>
      </c>
      <c r="H41" s="116">
        <f>G41+(G41*'Budget Parameters'!$C$22)</f>
        <v>0</v>
      </c>
      <c r="I41" s="77" t="s">
        <v>136</v>
      </c>
    </row>
    <row r="42" spans="1:9" ht="12.75" outlineLevel="1" x14ac:dyDescent="0.2">
      <c r="A42" s="8" t="s">
        <v>36</v>
      </c>
      <c r="B42" s="6" t="s">
        <v>110</v>
      </c>
      <c r="C42" s="20" t="s">
        <v>1</v>
      </c>
      <c r="D42" s="80">
        <f>2*'Study Parameters'!$C$24*'Study Parameters'!$D$33</f>
        <v>0</v>
      </c>
      <c r="E42" s="47" t="s">
        <v>18</v>
      </c>
      <c r="F42" s="116">
        <f>VLOOKUP(E42,'Budget Parameters'!$A$7:$B$18,2,FALSE)</f>
        <v>50</v>
      </c>
      <c r="G42" s="116">
        <f t="shared" si="11"/>
        <v>0</v>
      </c>
      <c r="H42" s="116">
        <f>G42+(G42*'Budget Parameters'!$C$22)</f>
        <v>0</v>
      </c>
      <c r="I42" s="77" t="s">
        <v>136</v>
      </c>
    </row>
    <row r="43" spans="1:9" ht="12.75" outlineLevel="1" x14ac:dyDescent="0.2">
      <c r="A43" s="8" t="s">
        <v>37</v>
      </c>
      <c r="B43" s="6" t="s">
        <v>50</v>
      </c>
      <c r="C43" s="20" t="s">
        <v>1</v>
      </c>
      <c r="D43" s="80">
        <f>2*'Study Parameters'!$C$24*'Study Parameters'!$D$33</f>
        <v>0</v>
      </c>
      <c r="E43" s="47" t="s">
        <v>57</v>
      </c>
      <c r="F43" s="116">
        <f>VLOOKUP(E43,'Budget Parameters'!$A$7:$B$18,2,FALSE)</f>
        <v>35</v>
      </c>
      <c r="G43" s="116">
        <f t="shared" si="11"/>
        <v>0</v>
      </c>
      <c r="H43" s="116">
        <f>G43+(G43*'Budget Parameters'!$C$22)</f>
        <v>0</v>
      </c>
      <c r="I43" s="77" t="s">
        <v>136</v>
      </c>
    </row>
    <row r="44" spans="1:9" ht="38.25" outlineLevel="1" x14ac:dyDescent="0.2">
      <c r="A44" s="8" t="s">
        <v>114</v>
      </c>
      <c r="B44" s="6" t="s">
        <v>51</v>
      </c>
      <c r="C44" s="20" t="s">
        <v>105</v>
      </c>
      <c r="D44" s="80">
        <f>0.5*'Study Parameters'!C24</f>
        <v>0</v>
      </c>
      <c r="E44" s="47" t="s">
        <v>141</v>
      </c>
      <c r="F44" s="115">
        <v>250</v>
      </c>
      <c r="G44" s="116">
        <f t="shared" si="11"/>
        <v>0</v>
      </c>
      <c r="H44" s="116">
        <f>G44+(G44*'Budget Parameters'!$C$22)</f>
        <v>0</v>
      </c>
      <c r="I44" s="77" t="s">
        <v>264</v>
      </c>
    </row>
    <row r="45" spans="1:9" ht="12.75" x14ac:dyDescent="0.2">
      <c r="A45" s="11" t="s">
        <v>2</v>
      </c>
      <c r="B45" s="12"/>
      <c r="C45" s="21"/>
      <c r="D45" s="26"/>
      <c r="E45" s="26"/>
      <c r="F45" s="110"/>
      <c r="G45" s="44">
        <f>SUM(G36:G44)</f>
        <v>1000</v>
      </c>
      <c r="H45" s="44">
        <f>SUM(H36:H44)</f>
        <v>1000</v>
      </c>
      <c r="I45" s="85"/>
    </row>
    <row r="46" spans="1:9" ht="15.75" x14ac:dyDescent="0.25">
      <c r="A46" s="13">
        <v>6</v>
      </c>
      <c r="B46" s="13" t="s">
        <v>80</v>
      </c>
      <c r="C46" s="19"/>
      <c r="D46" s="25"/>
      <c r="E46" s="25"/>
      <c r="F46" s="112"/>
      <c r="G46" s="41"/>
      <c r="H46" s="48"/>
      <c r="I46" s="82"/>
    </row>
    <row r="47" spans="1:9" ht="12.75" outlineLevel="1" x14ac:dyDescent="0.2">
      <c r="A47" s="8" t="s">
        <v>32</v>
      </c>
      <c r="B47" s="6" t="s">
        <v>157</v>
      </c>
      <c r="C47" s="20"/>
      <c r="D47" s="80">
        <f>'Study Parameters'!D41</f>
        <v>0</v>
      </c>
      <c r="E47" s="47" t="s">
        <v>205</v>
      </c>
      <c r="F47" s="115">
        <v>200</v>
      </c>
      <c r="G47" s="116">
        <f>F47*D47</f>
        <v>0</v>
      </c>
      <c r="H47" s="116">
        <f>F47*D47</f>
        <v>0</v>
      </c>
      <c r="I47" s="77" t="s">
        <v>275</v>
      </c>
    </row>
    <row r="48" spans="1:9" ht="12.75" outlineLevel="1" x14ac:dyDescent="0.2">
      <c r="A48" s="8" t="s">
        <v>43</v>
      </c>
      <c r="B48" s="6" t="s">
        <v>168</v>
      </c>
      <c r="C48" s="20"/>
      <c r="D48" s="47"/>
      <c r="E48" s="47" t="s">
        <v>205</v>
      </c>
      <c r="F48" s="115">
        <v>10000</v>
      </c>
      <c r="G48" s="116">
        <f>D48*F48</f>
        <v>0</v>
      </c>
      <c r="H48" s="116">
        <f>G48</f>
        <v>0</v>
      </c>
      <c r="I48" s="77"/>
    </row>
    <row r="49" spans="1:9" ht="12.75" outlineLevel="1" x14ac:dyDescent="0.2">
      <c r="A49" s="8" t="s">
        <v>44</v>
      </c>
      <c r="B49" s="6" t="s">
        <v>166</v>
      </c>
      <c r="C49" s="20"/>
      <c r="D49" s="80">
        <f>2*'Study Parameters'!$D$33</f>
        <v>0</v>
      </c>
      <c r="E49" s="47" t="s">
        <v>205</v>
      </c>
      <c r="F49" s="115">
        <v>2000</v>
      </c>
      <c r="G49" s="116">
        <f>F49*D49</f>
        <v>0</v>
      </c>
      <c r="H49" s="116">
        <f>G49</f>
        <v>0</v>
      </c>
      <c r="I49" s="77" t="s">
        <v>160</v>
      </c>
    </row>
    <row r="50" spans="1:9" ht="12.75" outlineLevel="1" x14ac:dyDescent="0.2">
      <c r="A50" s="8" t="s">
        <v>44</v>
      </c>
      <c r="B50" s="6" t="s">
        <v>167</v>
      </c>
      <c r="C50" s="20" t="s">
        <v>1</v>
      </c>
      <c r="D50" s="80">
        <f>2*'Study Parameters'!$D$33</f>
        <v>0</v>
      </c>
      <c r="E50" s="47" t="s">
        <v>99</v>
      </c>
      <c r="F50" s="115">
        <v>1000</v>
      </c>
      <c r="G50" s="116">
        <f>F50*D50</f>
        <v>0</v>
      </c>
      <c r="H50" s="116">
        <f>G50</f>
        <v>0</v>
      </c>
      <c r="I50" s="77" t="s">
        <v>160</v>
      </c>
    </row>
    <row r="51" spans="1:9" ht="12.75" outlineLevel="1" x14ac:dyDescent="0.2">
      <c r="A51" s="8" t="s">
        <v>189</v>
      </c>
      <c r="B51" s="6" t="s">
        <v>42</v>
      </c>
      <c r="C51" s="20" t="s">
        <v>1</v>
      </c>
      <c r="D51" s="47"/>
      <c r="E51" s="47" t="s">
        <v>98</v>
      </c>
      <c r="F51" s="116">
        <f>VLOOKUP(E51,'Budget Parameters'!$A$7:$B$18,2,FALSE)</f>
        <v>50</v>
      </c>
      <c r="G51" s="115">
        <f t="shared" ref="G51" si="12">F51*D51</f>
        <v>0</v>
      </c>
      <c r="H51" s="116">
        <f>G51+(G51*'Budget Parameters'!$C$22)</f>
        <v>0</v>
      </c>
      <c r="I51" s="77" t="s">
        <v>109</v>
      </c>
    </row>
    <row r="52" spans="1:9" ht="12.75" x14ac:dyDescent="0.2">
      <c r="A52" s="11" t="s">
        <v>2</v>
      </c>
      <c r="B52" s="12"/>
      <c r="C52" s="21"/>
      <c r="D52" s="26"/>
      <c r="E52" s="26"/>
      <c r="F52" s="121"/>
      <c r="G52" s="122">
        <f>SUM(G47:G51)</f>
        <v>0</v>
      </c>
      <c r="H52" s="122">
        <f>SUM(H47:H51)</f>
        <v>0</v>
      </c>
      <c r="I52" s="85"/>
    </row>
    <row r="53" spans="1:9" ht="15.75" x14ac:dyDescent="0.25">
      <c r="A53" s="13">
        <v>7</v>
      </c>
      <c r="B53" s="89" t="s">
        <v>24</v>
      </c>
      <c r="C53" s="19"/>
      <c r="D53" s="25"/>
      <c r="E53" s="25"/>
      <c r="F53" s="112"/>
      <c r="G53" s="41"/>
      <c r="H53" s="48"/>
      <c r="I53" s="82"/>
    </row>
    <row r="54" spans="1:9" ht="45" outlineLevel="1" x14ac:dyDescent="0.2">
      <c r="A54" s="8" t="s">
        <v>45</v>
      </c>
      <c r="B54" s="88" t="s">
        <v>258</v>
      </c>
      <c r="C54" s="20"/>
      <c r="D54" s="47"/>
      <c r="E54" s="47" t="s">
        <v>205</v>
      </c>
      <c r="F54" s="116">
        <f>75000</f>
        <v>75000</v>
      </c>
      <c r="G54" s="116">
        <f>F54</f>
        <v>75000</v>
      </c>
      <c r="H54" s="116">
        <f>F54</f>
        <v>75000</v>
      </c>
      <c r="I54" s="77" t="s">
        <v>303</v>
      </c>
    </row>
    <row r="55" spans="1:9" ht="90" outlineLevel="1" x14ac:dyDescent="0.2">
      <c r="A55" s="8" t="s">
        <v>257</v>
      </c>
      <c r="B55" s="88" t="s">
        <v>259</v>
      </c>
      <c r="C55" s="20"/>
      <c r="D55" s="80">
        <f>'Study Parameters'!C19</f>
        <v>0</v>
      </c>
      <c r="E55" s="47" t="s">
        <v>205</v>
      </c>
      <c r="F55" s="116">
        <v>100</v>
      </c>
      <c r="G55" s="116">
        <f>D55*F55</f>
        <v>0</v>
      </c>
      <c r="H55" s="116">
        <f>G55</f>
        <v>0</v>
      </c>
      <c r="I55" s="77" t="s">
        <v>302</v>
      </c>
    </row>
    <row r="56" spans="1:9" ht="12.75" x14ac:dyDescent="0.2">
      <c r="A56" s="11" t="s">
        <v>2</v>
      </c>
      <c r="B56" s="12"/>
      <c r="C56" s="21"/>
      <c r="D56" s="26"/>
      <c r="E56" s="26"/>
      <c r="F56" s="121"/>
      <c r="G56" s="122">
        <f>SUBTOTAL(9,G54:G55)</f>
        <v>75000</v>
      </c>
      <c r="H56" s="122">
        <f>SUBTOTAL(9,H54:H55)</f>
        <v>75000</v>
      </c>
      <c r="I56" s="85"/>
    </row>
    <row r="57" spans="1:9" ht="15.75" x14ac:dyDescent="0.25">
      <c r="A57" s="13">
        <v>8</v>
      </c>
      <c r="B57" s="13" t="s">
        <v>81</v>
      </c>
      <c r="C57" s="19"/>
      <c r="D57" s="25"/>
      <c r="E57" s="25"/>
      <c r="F57" s="112"/>
      <c r="G57" s="41"/>
      <c r="H57" s="48"/>
      <c r="I57" s="82"/>
    </row>
    <row r="58" spans="1:9" ht="22.5" outlineLevel="1" x14ac:dyDescent="0.2">
      <c r="A58" s="8" t="s">
        <v>9</v>
      </c>
      <c r="B58" s="90" t="s">
        <v>158</v>
      </c>
      <c r="C58" s="20"/>
      <c r="D58" s="47"/>
      <c r="E58" s="47" t="s">
        <v>205</v>
      </c>
      <c r="F58" s="115">
        <v>10000</v>
      </c>
      <c r="G58" s="116">
        <f>F58</f>
        <v>10000</v>
      </c>
      <c r="H58" s="116">
        <f>F58</f>
        <v>10000</v>
      </c>
      <c r="I58" s="77"/>
    </row>
    <row r="59" spans="1:9" ht="45" outlineLevel="1" x14ac:dyDescent="0.2">
      <c r="A59" s="8" t="s">
        <v>11</v>
      </c>
      <c r="B59" s="90" t="s">
        <v>274</v>
      </c>
      <c r="C59" s="20"/>
      <c r="D59" s="47"/>
      <c r="E59" s="47" t="s">
        <v>205</v>
      </c>
      <c r="F59" s="115">
        <v>40000</v>
      </c>
      <c r="G59" s="116">
        <f>F59</f>
        <v>40000</v>
      </c>
      <c r="H59" s="116">
        <f>F59</f>
        <v>40000</v>
      </c>
      <c r="I59" s="77"/>
    </row>
    <row r="60" spans="1:9" ht="12.75" outlineLevel="1" x14ac:dyDescent="0.2">
      <c r="A60" s="8" t="s">
        <v>159</v>
      </c>
      <c r="B60" s="6" t="s">
        <v>82</v>
      </c>
      <c r="C60" s="20"/>
      <c r="D60" s="47"/>
      <c r="E60" s="47" t="s">
        <v>205</v>
      </c>
      <c r="F60" s="115">
        <v>10000</v>
      </c>
      <c r="G60" s="116">
        <f>F60</f>
        <v>10000</v>
      </c>
      <c r="H60" s="116">
        <f>F60</f>
        <v>10000</v>
      </c>
      <c r="I60" s="77"/>
    </row>
    <row r="61" spans="1:9" ht="12.75" x14ac:dyDescent="0.2">
      <c r="A61" s="11" t="s">
        <v>2</v>
      </c>
      <c r="B61" s="12"/>
      <c r="C61" s="21"/>
      <c r="D61" s="26"/>
      <c r="E61" s="26"/>
      <c r="F61" s="121"/>
      <c r="G61" s="122">
        <f>SUBTOTAL(9,G58:G60)</f>
        <v>60000</v>
      </c>
      <c r="H61" s="122">
        <f>SUM(H58:H60)</f>
        <v>60000</v>
      </c>
      <c r="I61" s="85"/>
    </row>
    <row r="62" spans="1:9" ht="15.75" x14ac:dyDescent="0.25">
      <c r="A62" s="13">
        <v>9</v>
      </c>
      <c r="B62" s="13" t="s">
        <v>10</v>
      </c>
      <c r="C62" s="19"/>
      <c r="D62" s="25"/>
      <c r="E62" s="25"/>
      <c r="F62" s="112"/>
      <c r="G62" s="41"/>
      <c r="H62" s="48"/>
      <c r="I62" s="82"/>
    </row>
    <row r="63" spans="1:9" ht="51" outlineLevel="1" x14ac:dyDescent="0.2">
      <c r="A63" s="8" t="s">
        <v>83</v>
      </c>
      <c r="B63" s="6" t="s">
        <v>221</v>
      </c>
      <c r="C63" s="20" t="s">
        <v>1</v>
      </c>
      <c r="D63" s="80">
        <f>'Study Parameters'!D33*1600*0.5</f>
        <v>0</v>
      </c>
      <c r="E63" s="47" t="s">
        <v>18</v>
      </c>
      <c r="F63" s="116">
        <f>VLOOKUP(E63,'Budget Parameters'!$A$7:$B$18,2,FALSE)</f>
        <v>50</v>
      </c>
      <c r="G63" s="116">
        <f>F63*D63</f>
        <v>0</v>
      </c>
      <c r="H63" s="116">
        <f>G63+(G63*'Budget Parameters'!$C$22)</f>
        <v>0</v>
      </c>
      <c r="I63" s="77" t="s">
        <v>265</v>
      </c>
    </row>
    <row r="64" spans="1:9" ht="25.5" outlineLevel="1" x14ac:dyDescent="0.2">
      <c r="A64" s="8" t="s">
        <v>84</v>
      </c>
      <c r="B64" s="6" t="s">
        <v>233</v>
      </c>
      <c r="C64" s="20" t="s">
        <v>1</v>
      </c>
      <c r="D64" s="80">
        <f>2*('Study Parameters'!D34*2)</f>
        <v>0</v>
      </c>
      <c r="E64" s="47" t="s">
        <v>18</v>
      </c>
      <c r="F64" s="116">
        <f>VLOOKUP(E64,'Budget Parameters'!$A$7:$B$18,2,FALSE)</f>
        <v>50</v>
      </c>
      <c r="G64" s="116">
        <f t="shared" ref="G64:G69" si="13">F64*D64</f>
        <v>0</v>
      </c>
      <c r="H64" s="116">
        <f>G64+(G64*'Budget Parameters'!$C$22)</f>
        <v>0</v>
      </c>
      <c r="I64" s="77" t="s">
        <v>204</v>
      </c>
    </row>
    <row r="65" spans="1:9" ht="25.5" outlineLevel="1" x14ac:dyDescent="0.2">
      <c r="A65" s="8" t="s">
        <v>84</v>
      </c>
      <c r="B65" s="6" t="s">
        <v>233</v>
      </c>
      <c r="C65" s="20" t="s">
        <v>1</v>
      </c>
      <c r="D65" s="80">
        <f>(('Study Parameters'!D31)-('Study Parameters'!D34))*2</f>
        <v>0</v>
      </c>
      <c r="E65" s="47" t="s">
        <v>18</v>
      </c>
      <c r="F65" s="116">
        <f>VLOOKUP(E65,'Budget Parameters'!$A$7:$B$18,2,FALSE)</f>
        <v>50</v>
      </c>
      <c r="G65" s="116">
        <f t="shared" ref="G65" si="14">F65*D65</f>
        <v>0</v>
      </c>
      <c r="H65" s="116">
        <f>G65+(G65*'Budget Parameters'!$C$22)</f>
        <v>0</v>
      </c>
      <c r="I65" s="77" t="s">
        <v>202</v>
      </c>
    </row>
    <row r="66" spans="1:9" ht="22.5" outlineLevel="1" x14ac:dyDescent="0.2">
      <c r="A66" s="8" t="s">
        <v>85</v>
      </c>
      <c r="B66" s="90" t="s">
        <v>170</v>
      </c>
      <c r="C66" s="20"/>
      <c r="D66" s="47"/>
      <c r="E66" s="47" t="s">
        <v>205</v>
      </c>
      <c r="F66" s="115">
        <v>3500</v>
      </c>
      <c r="G66" s="116">
        <f>F66*D66</f>
        <v>0</v>
      </c>
      <c r="H66" s="116">
        <f>G66</f>
        <v>0</v>
      </c>
      <c r="I66" s="77" t="s">
        <v>162</v>
      </c>
    </row>
    <row r="67" spans="1:9" ht="12.75" outlineLevel="1" x14ac:dyDescent="0.2">
      <c r="A67" s="8" t="s">
        <v>85</v>
      </c>
      <c r="B67" s="6" t="s">
        <v>165</v>
      </c>
      <c r="C67" s="20"/>
      <c r="D67" s="47"/>
      <c r="E67" s="47" t="s">
        <v>205</v>
      </c>
      <c r="F67" s="115">
        <v>2000</v>
      </c>
      <c r="G67" s="116">
        <f>F67*D67</f>
        <v>0</v>
      </c>
      <c r="H67" s="116">
        <f>G67</f>
        <v>0</v>
      </c>
      <c r="I67" s="77" t="s">
        <v>161</v>
      </c>
    </row>
    <row r="68" spans="1:9" ht="12.75" outlineLevel="1" x14ac:dyDescent="0.2">
      <c r="A68" s="8" t="s">
        <v>85</v>
      </c>
      <c r="B68" s="6" t="s">
        <v>163</v>
      </c>
      <c r="C68" s="20"/>
      <c r="D68" s="47"/>
      <c r="E68" s="47" t="s">
        <v>205</v>
      </c>
      <c r="F68" s="115">
        <v>3500</v>
      </c>
      <c r="G68" s="116">
        <f>F68*D68</f>
        <v>0</v>
      </c>
      <c r="H68" s="116">
        <f>G68</f>
        <v>0</v>
      </c>
      <c r="I68" s="77"/>
    </row>
    <row r="69" spans="1:9" ht="22.5" outlineLevel="1" x14ac:dyDescent="0.2">
      <c r="A69" s="8" t="s">
        <v>86</v>
      </c>
      <c r="B69" s="90" t="s">
        <v>198</v>
      </c>
      <c r="C69" s="20"/>
      <c r="D69" s="80">
        <f>3*'Study Parameters'!D33</f>
        <v>0</v>
      </c>
      <c r="E69" s="47" t="s">
        <v>205</v>
      </c>
      <c r="F69" s="115">
        <v>3500</v>
      </c>
      <c r="G69" s="116">
        <f t="shared" si="13"/>
        <v>0</v>
      </c>
      <c r="H69" s="116">
        <f>G69+(G69*'Budget Parameters'!$C$22)</f>
        <v>0</v>
      </c>
      <c r="I69" s="77" t="s">
        <v>201</v>
      </c>
    </row>
    <row r="70" spans="1:9" ht="22.5" outlineLevel="1" x14ac:dyDescent="0.2">
      <c r="A70" s="8" t="s">
        <v>149</v>
      </c>
      <c r="B70" s="90" t="s">
        <v>164</v>
      </c>
      <c r="C70" s="20"/>
      <c r="D70" s="80">
        <f>'Study Parameters'!D31*2</f>
        <v>0</v>
      </c>
      <c r="E70" s="47" t="s">
        <v>205</v>
      </c>
      <c r="F70" s="115">
        <v>500</v>
      </c>
      <c r="G70" s="116">
        <f t="shared" ref="G70" si="15">F70*D70</f>
        <v>0</v>
      </c>
      <c r="H70" s="116">
        <f>G70+(G70*'Budget Parameters'!$C$22)</f>
        <v>0</v>
      </c>
      <c r="I70" s="77" t="s">
        <v>255</v>
      </c>
    </row>
    <row r="71" spans="1:9" ht="12.75" x14ac:dyDescent="0.2">
      <c r="A71" s="11" t="s">
        <v>2</v>
      </c>
      <c r="B71" s="12"/>
      <c r="C71" s="21"/>
      <c r="D71" s="26"/>
      <c r="E71" s="26"/>
      <c r="F71" s="121"/>
      <c r="G71" s="122">
        <f>SUM(G63:G70)</f>
        <v>0</v>
      </c>
      <c r="H71" s="122">
        <f>SUM(H63:H70)</f>
        <v>0</v>
      </c>
      <c r="I71" s="85"/>
    </row>
    <row r="72" spans="1:9" ht="15.75" x14ac:dyDescent="0.25">
      <c r="A72" s="13">
        <v>10</v>
      </c>
      <c r="B72" s="13" t="s">
        <v>53</v>
      </c>
      <c r="C72" s="19"/>
      <c r="D72" s="25"/>
      <c r="E72" s="25"/>
      <c r="F72" s="112"/>
      <c r="G72" s="41"/>
      <c r="H72" s="48"/>
      <c r="I72" s="82"/>
    </row>
    <row r="73" spans="1:9" ht="12.75" outlineLevel="1" x14ac:dyDescent="0.2">
      <c r="A73" s="8" t="s">
        <v>278</v>
      </c>
      <c r="B73" s="6" t="s">
        <v>54</v>
      </c>
      <c r="C73" s="20" t="s">
        <v>1</v>
      </c>
      <c r="D73" s="47"/>
      <c r="E73" s="47" t="s">
        <v>144</v>
      </c>
      <c r="F73" s="116">
        <f>VLOOKUP(E73,'Budget Parameters'!$A$7:$B$18,2,FALSE)</f>
        <v>60</v>
      </c>
      <c r="G73" s="116">
        <f>D73*F73</f>
        <v>0</v>
      </c>
      <c r="H73" s="116">
        <f>G73+(G73*'Budget Parameters'!$C$22)</f>
        <v>0</v>
      </c>
      <c r="I73" s="77"/>
    </row>
    <row r="74" spans="1:9" ht="12.75" outlineLevel="1" x14ac:dyDescent="0.2">
      <c r="A74" s="8" t="s">
        <v>279</v>
      </c>
      <c r="B74" s="90" t="s">
        <v>283</v>
      </c>
      <c r="C74" s="20" t="s">
        <v>91</v>
      </c>
      <c r="D74" s="47"/>
      <c r="E74" s="47"/>
      <c r="F74" s="116"/>
      <c r="G74" s="116">
        <f>F74*D74</f>
        <v>0</v>
      </c>
      <c r="H74" s="116">
        <f>G74+(G74*'Budget Parameters'!$C$22)</f>
        <v>0</v>
      </c>
      <c r="I74" s="77"/>
    </row>
    <row r="75" spans="1:9" ht="12.75" outlineLevel="1" x14ac:dyDescent="0.2">
      <c r="A75" s="8" t="s">
        <v>280</v>
      </c>
      <c r="B75" s="6" t="s">
        <v>87</v>
      </c>
      <c r="C75" s="20" t="s">
        <v>1</v>
      </c>
      <c r="D75" s="47"/>
      <c r="E75" s="47" t="s">
        <v>97</v>
      </c>
      <c r="F75" s="115"/>
      <c r="G75" s="116">
        <f t="shared" ref="G75:G77" si="16">D75*F75</f>
        <v>0</v>
      </c>
      <c r="H75" s="116">
        <f>G75</f>
        <v>0</v>
      </c>
      <c r="I75" s="77"/>
    </row>
    <row r="76" spans="1:9" ht="12.75" outlineLevel="1" x14ac:dyDescent="0.2">
      <c r="A76" s="8" t="s">
        <v>281</v>
      </c>
      <c r="B76" s="6" t="s">
        <v>46</v>
      </c>
      <c r="C76" s="20" t="s">
        <v>1</v>
      </c>
      <c r="D76" s="47"/>
      <c r="E76" s="47" t="s">
        <v>97</v>
      </c>
      <c r="F76" s="115"/>
      <c r="G76" s="116">
        <f>D76*F76</f>
        <v>0</v>
      </c>
      <c r="H76" s="116">
        <f>G76</f>
        <v>0</v>
      </c>
      <c r="I76" s="77"/>
    </row>
    <row r="77" spans="1:9" ht="12.75" outlineLevel="1" x14ac:dyDescent="0.2">
      <c r="A77" s="8" t="s">
        <v>282</v>
      </c>
      <c r="B77" s="6" t="s">
        <v>47</v>
      </c>
      <c r="C77" s="20" t="s">
        <v>1</v>
      </c>
      <c r="D77" s="47"/>
      <c r="E77" s="47" t="s">
        <v>97</v>
      </c>
      <c r="F77" s="115"/>
      <c r="G77" s="116">
        <f t="shared" si="16"/>
        <v>0</v>
      </c>
      <c r="H77" s="116">
        <f>G77</f>
        <v>0</v>
      </c>
      <c r="I77" s="77"/>
    </row>
    <row r="78" spans="1:9" ht="12.75" x14ac:dyDescent="0.2">
      <c r="A78" s="11" t="s">
        <v>2</v>
      </c>
      <c r="B78" s="12"/>
      <c r="C78" s="21"/>
      <c r="D78" s="26"/>
      <c r="E78" s="26"/>
      <c r="F78" s="121"/>
      <c r="G78" s="122">
        <f>SUM(G73:G77)</f>
        <v>0</v>
      </c>
      <c r="H78" s="122">
        <f>SUM(H73:H77)</f>
        <v>0</v>
      </c>
      <c r="I78" s="85"/>
    </row>
    <row r="79" spans="1:9" ht="31.5" x14ac:dyDescent="0.25">
      <c r="A79" s="13">
        <v>11</v>
      </c>
      <c r="B79" s="89" t="s">
        <v>206</v>
      </c>
      <c r="C79" s="19"/>
      <c r="D79" s="25"/>
      <c r="E79" s="25"/>
      <c r="F79" s="123"/>
      <c r="G79" s="123"/>
      <c r="H79" s="115"/>
      <c r="I79" s="77"/>
    </row>
    <row r="80" spans="1:9" ht="12.75" outlineLevel="1" x14ac:dyDescent="0.2">
      <c r="A80" s="8" t="s">
        <v>38</v>
      </c>
      <c r="B80" s="6" t="s">
        <v>88</v>
      </c>
      <c r="C80" s="20" t="s">
        <v>92</v>
      </c>
      <c r="D80" s="47"/>
      <c r="E80" s="47"/>
      <c r="F80" s="115"/>
      <c r="G80" s="115">
        <f t="shared" ref="G80:H82" si="17">F80</f>
        <v>0</v>
      </c>
      <c r="H80" s="115">
        <f t="shared" si="17"/>
        <v>0</v>
      </c>
      <c r="I80" s="77"/>
    </row>
    <row r="81" spans="1:9" ht="12.75" outlineLevel="1" x14ac:dyDescent="0.2">
      <c r="A81" s="8" t="s">
        <v>40</v>
      </c>
      <c r="B81" s="6" t="s">
        <v>26</v>
      </c>
      <c r="C81" s="20" t="s">
        <v>90</v>
      </c>
      <c r="D81" s="47"/>
      <c r="E81" s="47"/>
      <c r="F81" s="115"/>
      <c r="G81" s="115">
        <f t="shared" si="17"/>
        <v>0</v>
      </c>
      <c r="H81" s="115">
        <f t="shared" si="17"/>
        <v>0</v>
      </c>
      <c r="I81" s="77"/>
    </row>
    <row r="82" spans="1:9" ht="12.75" outlineLevel="1" x14ac:dyDescent="0.2">
      <c r="A82" s="8" t="s">
        <v>39</v>
      </c>
      <c r="B82" s="6" t="s">
        <v>89</v>
      </c>
      <c r="C82" s="20" t="s">
        <v>92</v>
      </c>
      <c r="D82" s="47"/>
      <c r="E82" s="47"/>
      <c r="F82" s="115"/>
      <c r="G82" s="115">
        <f t="shared" si="17"/>
        <v>0</v>
      </c>
      <c r="H82" s="115">
        <f t="shared" si="17"/>
        <v>0</v>
      </c>
      <c r="I82" s="77"/>
    </row>
    <row r="83" spans="1:9" ht="25.5" outlineLevel="1" x14ac:dyDescent="0.2">
      <c r="A83" s="8" t="s">
        <v>41</v>
      </c>
      <c r="B83" s="6" t="s">
        <v>169</v>
      </c>
      <c r="C83" s="20"/>
      <c r="D83" s="80">
        <f>'Study Parameters'!C24*2</f>
        <v>0</v>
      </c>
      <c r="E83" s="47" t="s">
        <v>205</v>
      </c>
      <c r="F83" s="115">
        <v>40</v>
      </c>
      <c r="G83" s="115">
        <f>F83*D83</f>
        <v>0</v>
      </c>
      <c r="H83" s="115"/>
      <c r="I83" s="77" t="s">
        <v>284</v>
      </c>
    </row>
    <row r="84" spans="1:9" ht="12.75" x14ac:dyDescent="0.2">
      <c r="A84" s="11" t="s">
        <v>2</v>
      </c>
      <c r="B84" s="12"/>
      <c r="C84" s="21"/>
      <c r="D84" s="26"/>
      <c r="E84" s="26"/>
      <c r="F84" s="122"/>
      <c r="G84" s="122">
        <f>SUM(G80:G83)</f>
        <v>0</v>
      </c>
      <c r="H84" s="122">
        <f>SUM(H80:H83)</f>
        <v>0</v>
      </c>
      <c r="I84" s="85"/>
    </row>
    <row r="85" spans="1:9" ht="12.75" x14ac:dyDescent="0.2">
      <c r="F85" s="124"/>
      <c r="G85" s="124"/>
      <c r="H85" s="115"/>
    </row>
    <row r="86" spans="1:9" ht="12.75" x14ac:dyDescent="0.2">
      <c r="A86" s="50" t="s">
        <v>118</v>
      </c>
      <c r="B86" s="16"/>
      <c r="C86" s="22"/>
      <c r="D86" s="27"/>
      <c r="E86" s="27"/>
      <c r="F86" s="125"/>
      <c r="G86" s="125">
        <f>SUM(G84,G78,G71,G56,G52,G45,G34,G31,G22,G9,G61,)</f>
        <v>185600</v>
      </c>
      <c r="H86" s="125">
        <f>SUM(H84,H78,H71,H56,H52,H45,H34,H31,H22,H9,H61,)</f>
        <v>185600</v>
      </c>
      <c r="I86" s="87"/>
    </row>
    <row r="88" spans="1:9" ht="12.75" x14ac:dyDescent="0.2">
      <c r="B88" s="14" t="s">
        <v>256</v>
      </c>
      <c r="G88" s="115">
        <f>G61+G55+G36+G33+G31+G22-G20+G9+G47+G49+G50+G51</f>
        <v>110600</v>
      </c>
    </row>
    <row r="89" spans="1:9" ht="12.75" x14ac:dyDescent="0.2">
      <c r="B89" s="14" t="s">
        <v>293</v>
      </c>
      <c r="G89" s="115">
        <f>G86-G88</f>
        <v>75000</v>
      </c>
    </row>
  </sheetData>
  <autoFilter ref="A1:I84">
    <filterColumn colId="4">
      <filters blank="1">
        <filter val="EXT"/>
        <filter val="FX"/>
        <filter val="NA"/>
        <filter val="START UP"/>
      </filters>
    </filterColumn>
  </autoFilter>
  <customSheetViews>
    <customSheetView guid="{7C37BAE0-401E-11D3-8EB7-444553540000}" showPageBreaks="1" fitToPage="1" printArea="1" showRuler="0" topLeftCell="A30">
      <selection activeCell="H33" sqref="H33"/>
      <pageMargins left="0.6692913385826772" right="0.6692913385826772" top="0.78740157480314965" bottom="0.78740157480314965" header="0.51181102362204722" footer="0.51181102362204722"/>
      <pageSetup paperSize="9" scale="63" orientation="portrait" horizontalDpi="4294967292" verticalDpi="300" r:id="rId1"/>
      <headerFooter alignWithMargins="0">
        <oddFooter>&amp;L&amp;F
Date: &amp;D&amp;CPage 2/3&amp;RHarrison Clinical Research</oddFooter>
      </headerFooter>
    </customSheetView>
    <customSheetView guid="{44F680A0-1DE8-11D3-AA98-444553540001}" showPageBreaks="1" fitToPage="1" printArea="1" showRuler="0" topLeftCell="A53">
      <selection activeCell="H85" sqref="H85"/>
      <pageMargins left="0.6692913385826772" right="0.6692913385826772" top="0.78740157480314965" bottom="0.78740157480314965" header="0.51181102362204722" footer="0.51181102362204722"/>
      <pageSetup paperSize="9" scale="64" orientation="portrait" horizontalDpi="4294967292" verticalDpi="300" r:id="rId2"/>
      <headerFooter alignWithMargins="0">
        <oddFooter>&amp;L&amp;F
Date: &amp;D&amp;CPage 2/3&amp;RHarrison Clinical Research</oddFooter>
      </headerFooter>
    </customSheetView>
  </customSheetViews>
  <phoneticPr fontId="7" type="noConversion"/>
  <pageMargins left="0.6692913385826772" right="0.6692913385826772" top="0.78740157480314965" bottom="0.78740157480314965" header="0.51181102362204722" footer="0.51181102362204722"/>
  <pageSetup paperSize="9" scale="81" fitToHeight="3" orientation="landscape" r:id="rId3"/>
  <headerFooter alignWithMargins="0">
    <oddFooter>&amp;L&amp;"Arial,Cursief"&amp;8&amp;F
Copyright © 2018 by KCE Trials. All rights reserved.&amp;C&amp;"Arial,Cursief"&amp;8Page &amp;P/&amp;N&amp;R&amp;"Arial,Cursief"&amp;A</oddFooter>
  </headerFooter>
  <rowBreaks count="1" manualBreakCount="1">
    <brk id="71" max="16383" man="1"/>
  </rowBreaks>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zoomScaleNormal="100" workbookViewId="0">
      <selection activeCell="A4" sqref="A4:H23"/>
    </sheetView>
  </sheetViews>
  <sheetFormatPr defaultColWidth="9.42578125" defaultRowHeight="15" x14ac:dyDescent="0.25"/>
  <cols>
    <col min="1" max="1" width="29.5703125" style="32" customWidth="1"/>
    <col min="2" max="2" width="11.42578125" style="32" customWidth="1"/>
    <col min="3" max="3" width="8.5703125" style="32" customWidth="1"/>
    <col min="4" max="4" width="8.42578125" style="32" customWidth="1"/>
    <col min="5" max="6" width="9.42578125" style="32"/>
    <col min="7" max="7" width="13.42578125" style="32" customWidth="1"/>
    <col min="8" max="8" width="16.5703125" style="32" customWidth="1"/>
    <col min="9" max="16384" width="9.42578125" style="32"/>
  </cols>
  <sheetData>
    <row r="1" spans="1:8" s="1" customFormat="1" ht="20.25" customHeight="1" thickBot="1" x14ac:dyDescent="0.3">
      <c r="A1" s="51" t="s">
        <v>222</v>
      </c>
      <c r="B1" s="52"/>
      <c r="C1" s="52" t="str">
        <f>'Study Parameters'!B7</f>
        <v>Number</v>
      </c>
      <c r="D1" s="52"/>
      <c r="E1" s="52"/>
      <c r="F1" s="52"/>
      <c r="G1" s="52"/>
      <c r="H1" s="40" t="str">
        <f>'Sponsor Cost'!I2</f>
        <v>DD/MM/YYYY</v>
      </c>
    </row>
    <row r="2" spans="1:8" customFormat="1" ht="13.5" thickBot="1" x14ac:dyDescent="0.25">
      <c r="A2" s="29"/>
      <c r="B2" s="30"/>
      <c r="C2" s="30"/>
      <c r="D2" s="30"/>
      <c r="E2" s="30"/>
      <c r="F2" s="30"/>
      <c r="G2" s="30"/>
      <c r="H2" s="31"/>
    </row>
    <row r="3" spans="1:8" s="1" customFormat="1" ht="20.25" customHeight="1" x14ac:dyDescent="0.25">
      <c r="A3" s="144" t="s">
        <v>209</v>
      </c>
      <c r="B3" s="145"/>
      <c r="C3" s="145"/>
      <c r="D3" s="145"/>
      <c r="E3" s="145"/>
      <c r="F3" s="145"/>
      <c r="G3" s="145"/>
      <c r="H3" s="146"/>
    </row>
    <row r="4" spans="1:8" ht="56.25" x14ac:dyDescent="0.25">
      <c r="A4" s="147" t="s">
        <v>58</v>
      </c>
      <c r="B4" s="147" t="s">
        <v>286</v>
      </c>
      <c r="C4" s="147" t="s">
        <v>59</v>
      </c>
      <c r="D4" s="198" t="s">
        <v>60</v>
      </c>
      <c r="E4" s="198"/>
      <c r="F4" s="198"/>
      <c r="G4" s="148" t="s">
        <v>61</v>
      </c>
      <c r="H4" s="147" t="s">
        <v>62</v>
      </c>
    </row>
    <row r="5" spans="1:8" x14ac:dyDescent="0.25">
      <c r="A5" s="147"/>
      <c r="B5" s="147"/>
      <c r="C5" s="149"/>
      <c r="D5" s="150" t="s">
        <v>63</v>
      </c>
      <c r="E5" s="150" t="s">
        <v>64</v>
      </c>
      <c r="F5" s="150" t="s">
        <v>93</v>
      </c>
      <c r="G5" s="149"/>
      <c r="H5" s="149"/>
    </row>
    <row r="6" spans="1:8" x14ac:dyDescent="0.25">
      <c r="A6" s="151" t="s">
        <v>65</v>
      </c>
      <c r="B6" s="147"/>
      <c r="C6" s="149"/>
      <c r="D6" s="152"/>
      <c r="E6" s="152"/>
      <c r="F6" s="152"/>
      <c r="G6" s="149"/>
      <c r="H6" s="149"/>
    </row>
    <row r="7" spans="1:8" x14ac:dyDescent="0.25">
      <c r="A7" s="153" t="s">
        <v>66</v>
      </c>
      <c r="B7" s="154">
        <f>C7</f>
        <v>50</v>
      </c>
      <c r="C7" s="155">
        <v>50</v>
      </c>
      <c r="D7" s="156"/>
      <c r="E7" s="156"/>
      <c r="F7" s="156"/>
      <c r="G7" s="156"/>
      <c r="H7" s="156"/>
    </row>
    <row r="8" spans="1:8" x14ac:dyDescent="0.25">
      <c r="A8" s="153" t="s">
        <v>67</v>
      </c>
      <c r="B8" s="154">
        <f>SUM(C8:H8)</f>
        <v>0</v>
      </c>
      <c r="C8" s="155"/>
      <c r="D8" s="149"/>
      <c r="E8" s="149"/>
      <c r="F8" s="149"/>
      <c r="G8" s="149"/>
      <c r="H8" s="149"/>
    </row>
    <row r="9" spans="1:8" x14ac:dyDescent="0.25">
      <c r="A9" s="153"/>
      <c r="B9" s="155"/>
      <c r="C9" s="155"/>
      <c r="D9" s="149"/>
      <c r="E9" s="149"/>
      <c r="F9" s="149"/>
      <c r="G9" s="149"/>
      <c r="H9" s="149"/>
    </row>
    <row r="10" spans="1:8" x14ac:dyDescent="0.25">
      <c r="A10" s="157" t="s">
        <v>287</v>
      </c>
      <c r="B10" s="158">
        <f t="shared" ref="B10:H10" si="0">SUM(B7:B8)</f>
        <v>50</v>
      </c>
      <c r="C10" s="158">
        <f t="shared" si="0"/>
        <v>50</v>
      </c>
      <c r="D10" s="158">
        <f t="shared" si="0"/>
        <v>0</v>
      </c>
      <c r="E10" s="158">
        <f t="shared" si="0"/>
        <v>0</v>
      </c>
      <c r="F10" s="158">
        <f t="shared" si="0"/>
        <v>0</v>
      </c>
      <c r="G10" s="158">
        <f t="shared" si="0"/>
        <v>0</v>
      </c>
      <c r="H10" s="158">
        <f t="shared" si="0"/>
        <v>0</v>
      </c>
    </row>
    <row r="11" spans="1:8" x14ac:dyDescent="0.25">
      <c r="A11" s="56"/>
      <c r="B11" s="56"/>
      <c r="C11" s="54"/>
      <c r="D11" s="54"/>
      <c r="E11" s="54"/>
      <c r="F11" s="54"/>
      <c r="G11" s="54"/>
      <c r="H11" s="54"/>
    </row>
    <row r="12" spans="1:8" x14ac:dyDescent="0.25">
      <c r="A12" s="57"/>
      <c r="B12" s="57"/>
      <c r="C12" s="54"/>
      <c r="D12" s="54"/>
      <c r="E12" s="54"/>
      <c r="F12" s="54"/>
      <c r="G12" s="54"/>
      <c r="H12" s="54"/>
    </row>
    <row r="13" spans="1:8" x14ac:dyDescent="0.25">
      <c r="A13" s="159" t="s">
        <v>68</v>
      </c>
      <c r="B13" s="160"/>
      <c r="C13" s="160"/>
      <c r="D13" s="160"/>
      <c r="E13" s="160"/>
      <c r="F13" s="160"/>
      <c r="G13" s="160"/>
      <c r="H13" s="160"/>
    </row>
    <row r="14" spans="1:8" x14ac:dyDescent="0.25">
      <c r="A14" s="153" t="s">
        <v>184</v>
      </c>
      <c r="B14" s="155">
        <f>SUM(D14:F14)</f>
        <v>0</v>
      </c>
      <c r="C14" s="155"/>
      <c r="D14" s="161"/>
      <c r="E14" s="161"/>
      <c r="F14" s="161"/>
      <c r="G14" s="155"/>
      <c r="H14" s="155"/>
    </row>
    <row r="15" spans="1:8" x14ac:dyDescent="0.25">
      <c r="A15" s="153" t="s">
        <v>185</v>
      </c>
      <c r="B15" s="155">
        <f>SUM(C15:H15)</f>
        <v>99.999999999999972</v>
      </c>
      <c r="C15" s="155">
        <f>(10/60)*'Budget Parameters'!$B$17</f>
        <v>16.666666666666664</v>
      </c>
      <c r="D15" s="155">
        <f>(10/60)*'Budget Parameters'!$B$17</f>
        <v>16.666666666666664</v>
      </c>
      <c r="E15" s="155">
        <f>(10/60)*'Budget Parameters'!$B$17</f>
        <v>16.666666666666664</v>
      </c>
      <c r="F15" s="155">
        <f>(10/60)*'Budget Parameters'!$B$17</f>
        <v>16.666666666666664</v>
      </c>
      <c r="G15" s="155">
        <f>(10/60)*'Budget Parameters'!$B$17</f>
        <v>16.666666666666664</v>
      </c>
      <c r="H15" s="155">
        <f>(10/60)*'Budget Parameters'!$B$17</f>
        <v>16.666666666666664</v>
      </c>
    </row>
    <row r="16" spans="1:8" x14ac:dyDescent="0.25">
      <c r="A16" s="153" t="s">
        <v>186</v>
      </c>
      <c r="B16" s="155">
        <f>SUM(C16:H16)</f>
        <v>480</v>
      </c>
      <c r="C16" s="155">
        <f>2*'Budget Parameters'!$B$15</f>
        <v>80</v>
      </c>
      <c r="D16" s="155">
        <f>2*'Budget Parameters'!$B$15</f>
        <v>80</v>
      </c>
      <c r="E16" s="155">
        <f>2*'Budget Parameters'!$B$15</f>
        <v>80</v>
      </c>
      <c r="F16" s="155">
        <f>2*'Budget Parameters'!$B$15</f>
        <v>80</v>
      </c>
      <c r="G16" s="155">
        <f>2*'Budget Parameters'!$B$15</f>
        <v>80</v>
      </c>
      <c r="H16" s="155">
        <f>2*'Budget Parameters'!$B$15</f>
        <v>80</v>
      </c>
    </row>
    <row r="17" spans="1:8" x14ac:dyDescent="0.25">
      <c r="A17" s="165" t="s">
        <v>288</v>
      </c>
      <c r="B17" s="155">
        <f t="shared" ref="B17:H17" si="1">SUM(B14:B16)</f>
        <v>580</v>
      </c>
      <c r="C17" s="155">
        <f t="shared" si="1"/>
        <v>96.666666666666657</v>
      </c>
      <c r="D17" s="155">
        <f t="shared" si="1"/>
        <v>96.666666666666657</v>
      </c>
      <c r="E17" s="155">
        <f t="shared" si="1"/>
        <v>96.666666666666657</v>
      </c>
      <c r="F17" s="155">
        <f t="shared" si="1"/>
        <v>96.666666666666657</v>
      </c>
      <c r="G17" s="155">
        <f t="shared" si="1"/>
        <v>96.666666666666657</v>
      </c>
      <c r="H17" s="155">
        <f t="shared" si="1"/>
        <v>96.666666666666657</v>
      </c>
    </row>
    <row r="18" spans="1:8" x14ac:dyDescent="0.25">
      <c r="A18" s="153" t="s">
        <v>285</v>
      </c>
      <c r="B18" s="155">
        <f>B17*'Budget Parameters'!$C$22</f>
        <v>58</v>
      </c>
      <c r="C18" s="155">
        <f>C17*'Budget Parameters'!$C$22</f>
        <v>9.6666666666666661</v>
      </c>
      <c r="D18" s="155">
        <f>D17*'Budget Parameters'!$C$22</f>
        <v>9.6666666666666661</v>
      </c>
      <c r="E18" s="155">
        <f>E17*'Budget Parameters'!$C$22</f>
        <v>9.6666666666666661</v>
      </c>
      <c r="F18" s="155">
        <f>F17*'Budget Parameters'!$C$22</f>
        <v>9.6666666666666661</v>
      </c>
      <c r="G18" s="155">
        <f>G17*'Budget Parameters'!$C$22</f>
        <v>9.6666666666666661</v>
      </c>
      <c r="H18" s="155">
        <f>H17*'Budget Parameters'!$C$22</f>
        <v>9.6666666666666661</v>
      </c>
    </row>
    <row r="19" spans="1:8" ht="22.5" x14ac:dyDescent="0.25">
      <c r="A19" s="157" t="s">
        <v>289</v>
      </c>
      <c r="B19" s="158">
        <f>B17+B18</f>
        <v>638</v>
      </c>
      <c r="C19" s="158">
        <f t="shared" ref="C19:H19" si="2">C17+C18</f>
        <v>106.33333333333333</v>
      </c>
      <c r="D19" s="158">
        <f t="shared" si="2"/>
        <v>106.33333333333333</v>
      </c>
      <c r="E19" s="158">
        <f t="shared" si="2"/>
        <v>106.33333333333333</v>
      </c>
      <c r="F19" s="158">
        <f t="shared" si="2"/>
        <v>106.33333333333333</v>
      </c>
      <c r="G19" s="158">
        <f t="shared" si="2"/>
        <v>106.33333333333333</v>
      </c>
      <c r="H19" s="158">
        <f t="shared" si="2"/>
        <v>106.33333333333333</v>
      </c>
    </row>
    <row r="20" spans="1:8" x14ac:dyDescent="0.25">
      <c r="A20" s="153"/>
      <c r="B20" s="155"/>
      <c r="C20" s="155"/>
      <c r="D20" s="155"/>
      <c r="E20" s="155"/>
      <c r="F20" s="155"/>
      <c r="G20" s="155"/>
      <c r="H20" s="155"/>
    </row>
    <row r="21" spans="1:8" x14ac:dyDescent="0.25">
      <c r="A21" s="162" t="s">
        <v>71</v>
      </c>
      <c r="B21" s="162">
        <f>B19+B10</f>
        <v>688</v>
      </c>
      <c r="C21" s="162">
        <f t="shared" ref="C21:H21" si="3">C19+C10</f>
        <v>156.33333333333331</v>
      </c>
      <c r="D21" s="162">
        <f t="shared" si="3"/>
        <v>106.33333333333333</v>
      </c>
      <c r="E21" s="162">
        <f t="shared" si="3"/>
        <v>106.33333333333333</v>
      </c>
      <c r="F21" s="162">
        <f t="shared" si="3"/>
        <v>106.33333333333333</v>
      </c>
      <c r="G21" s="162">
        <f t="shared" si="3"/>
        <v>106.33333333333333</v>
      </c>
      <c r="H21" s="162">
        <f t="shared" si="3"/>
        <v>106.33333333333333</v>
      </c>
    </row>
    <row r="22" spans="1:8" x14ac:dyDescent="0.25">
      <c r="A22" s="155" t="s">
        <v>267</v>
      </c>
      <c r="B22" s="155">
        <f>'Budget Parameters'!C24*B21</f>
        <v>144.47999999999999</v>
      </c>
      <c r="C22" s="149"/>
      <c r="D22" s="149"/>
      <c r="E22" s="149"/>
      <c r="F22" s="149"/>
      <c r="G22" s="149"/>
      <c r="H22" s="149"/>
    </row>
    <row r="23" spans="1:8" x14ac:dyDescent="0.25">
      <c r="A23" s="163" t="s">
        <v>72</v>
      </c>
      <c r="B23" s="164">
        <f>SUM(B21:B22)</f>
        <v>832.48</v>
      </c>
      <c r="C23" s="149"/>
      <c r="D23" s="149"/>
      <c r="E23" s="149"/>
      <c r="F23" s="149"/>
      <c r="G23" s="149"/>
      <c r="H23" s="149"/>
    </row>
    <row r="24" spans="1:8" ht="15.75" thickBot="1" x14ac:dyDescent="0.3">
      <c r="A24" s="54"/>
      <c r="B24" s="54"/>
      <c r="C24" s="54"/>
      <c r="D24" s="54"/>
      <c r="E24" s="54"/>
      <c r="F24" s="54"/>
      <c r="G24" s="54"/>
      <c r="H24" s="54"/>
    </row>
    <row r="25" spans="1:8" ht="16.5" thickBot="1" x14ac:dyDescent="0.3">
      <c r="A25" s="51" t="s">
        <v>69</v>
      </c>
      <c r="B25" s="52"/>
      <c r="C25" s="52"/>
      <c r="D25" s="52"/>
      <c r="E25" s="52"/>
      <c r="F25" s="52"/>
      <c r="G25" s="52"/>
      <c r="H25" s="53"/>
    </row>
    <row r="26" spans="1:8" x14ac:dyDescent="0.25">
      <c r="A26" s="59" t="s">
        <v>226</v>
      </c>
      <c r="B26" s="103">
        <f>'Study Parameters'!C22</f>
        <v>0</v>
      </c>
      <c r="C26" s="54"/>
      <c r="D26" s="54"/>
      <c r="E26" s="54"/>
      <c r="F26" s="54"/>
      <c r="G26" s="54"/>
      <c r="H26" s="54"/>
    </row>
    <row r="27" spans="1:8" x14ac:dyDescent="0.25">
      <c r="A27" s="59" t="s">
        <v>70</v>
      </c>
      <c r="B27" s="55">
        <f>'Budget Parameters'!B26</f>
        <v>1000</v>
      </c>
      <c r="C27" s="54"/>
      <c r="D27" s="54"/>
      <c r="E27" s="54"/>
      <c r="F27" s="54"/>
      <c r="G27" s="54"/>
      <c r="H27" s="54"/>
    </row>
    <row r="28" spans="1:8" x14ac:dyDescent="0.25">
      <c r="A28" s="59" t="s">
        <v>211</v>
      </c>
      <c r="B28" s="55">
        <f>250</f>
        <v>250</v>
      </c>
      <c r="C28" s="54"/>
      <c r="D28" s="54"/>
      <c r="E28" s="54"/>
      <c r="F28" s="54"/>
      <c r="G28" s="54"/>
      <c r="H28" s="54"/>
    </row>
    <row r="29" spans="1:8" x14ac:dyDescent="0.25">
      <c r="A29" s="54"/>
      <c r="B29" s="60"/>
      <c r="C29" s="54"/>
      <c r="D29" s="54"/>
      <c r="E29" s="54"/>
      <c r="F29" s="54"/>
      <c r="G29" s="54"/>
      <c r="H29" s="54"/>
    </row>
    <row r="30" spans="1:8" x14ac:dyDescent="0.25">
      <c r="A30" s="61" t="s">
        <v>94</v>
      </c>
      <c r="B30" s="62">
        <f>SUM(B27:B28)</f>
        <v>1250</v>
      </c>
      <c r="C30" s="54"/>
      <c r="D30" s="54"/>
      <c r="E30" s="54"/>
      <c r="F30" s="54"/>
      <c r="G30" s="54"/>
      <c r="H30" s="54"/>
    </row>
    <row r="31" spans="1:8" x14ac:dyDescent="0.25">
      <c r="A31" s="61" t="s">
        <v>268</v>
      </c>
      <c r="B31" s="62">
        <f>B30*B26</f>
        <v>0</v>
      </c>
      <c r="C31" s="54"/>
      <c r="D31" s="54"/>
      <c r="E31" s="54"/>
      <c r="F31" s="54"/>
      <c r="G31" s="54"/>
      <c r="H31" s="54"/>
    </row>
    <row r="32" spans="1:8" ht="15.75" thickBot="1" x14ac:dyDescent="0.3">
      <c r="A32" s="61" t="s">
        <v>269</v>
      </c>
      <c r="B32" s="62">
        <f>B23*'Study Parameters'!C15</f>
        <v>0</v>
      </c>
      <c r="C32" s="54"/>
      <c r="D32" s="54"/>
      <c r="E32" s="54"/>
      <c r="F32" s="54"/>
      <c r="G32" s="54"/>
      <c r="H32" s="54"/>
    </row>
    <row r="33" spans="1:2" ht="15.75" thickBot="1" x14ac:dyDescent="0.3">
      <c r="A33" s="129" t="s">
        <v>270</v>
      </c>
      <c r="B33" s="130">
        <f>SUM(B32:B32)</f>
        <v>0</v>
      </c>
    </row>
  </sheetData>
  <mergeCells count="1">
    <mergeCell ref="D4:F4"/>
  </mergeCells>
  <dataValidations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8">
      <formula1>55</formula1>
    </dataValidation>
  </dataValidations>
  <pageMargins left="0.70866141732283472" right="0.70866141732283472" top="0.74803149606299213" bottom="0.74803149606299213" header="0.31496062992125984" footer="0.31496062992125984"/>
  <pageSetup paperSize="9" orientation="landscape" r:id="rId1"/>
  <headerFooter>
    <oddFooter>&amp;L&amp;"Arial,Cursief"&amp;8&amp;F
Copyright © 2018 by KCE Trials. All rights reserved.&amp;C&amp;"Arial,Cursief"&amp;8Page &amp;P/&amp;N&amp;R&amp;"Arial,Cursief"&amp;8&amp;A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zoomScaleNormal="100" workbookViewId="0">
      <selection activeCell="B29" sqref="B29"/>
    </sheetView>
  </sheetViews>
  <sheetFormatPr defaultColWidth="9.42578125" defaultRowHeight="15" x14ac:dyDescent="0.25"/>
  <cols>
    <col min="1" max="1" width="25.42578125" style="32" customWidth="1"/>
    <col min="2" max="2" width="11.42578125" style="32" customWidth="1"/>
    <col min="3" max="3" width="8.5703125" style="32" customWidth="1"/>
    <col min="4" max="4" width="8.42578125" style="32" customWidth="1"/>
    <col min="5" max="6" width="9.42578125" style="32"/>
    <col min="7" max="7" width="13.42578125" style="32" customWidth="1"/>
    <col min="8" max="8" width="16.5703125" style="32" customWidth="1"/>
    <col min="9" max="16384" width="9.42578125" style="32"/>
  </cols>
  <sheetData>
    <row r="1" spans="1:8" s="1" customFormat="1" ht="20.25" customHeight="1" thickBot="1" x14ac:dyDescent="0.3">
      <c r="A1" s="51" t="s">
        <v>222</v>
      </c>
      <c r="B1" s="52"/>
      <c r="C1" s="52" t="str">
        <f>'Study Parameters'!B7</f>
        <v>Number</v>
      </c>
      <c r="D1" s="52"/>
      <c r="E1" s="52"/>
      <c r="F1" s="52"/>
      <c r="G1" s="52"/>
      <c r="H1" s="40" t="str">
        <f>'Sponsor Cost'!I2</f>
        <v>DD/MM/YYYY</v>
      </c>
    </row>
    <row r="2" spans="1:8" customFormat="1" ht="13.5" thickBot="1" x14ac:dyDescent="0.25">
      <c r="A2" s="29"/>
      <c r="B2" s="30"/>
      <c r="C2" s="30"/>
      <c r="D2" s="30"/>
      <c r="E2" s="30"/>
      <c r="F2" s="30"/>
      <c r="G2" s="30"/>
      <c r="H2" s="31"/>
    </row>
    <row r="3" spans="1:8" s="1" customFormat="1" ht="20.25" customHeight="1" thickBot="1" x14ac:dyDescent="0.3">
      <c r="A3" s="51" t="s">
        <v>210</v>
      </c>
      <c r="B3" s="52"/>
      <c r="C3" s="52"/>
      <c r="D3" s="52"/>
      <c r="E3" s="52"/>
      <c r="F3" s="52"/>
      <c r="G3" s="52"/>
      <c r="H3" s="53"/>
    </row>
    <row r="4" spans="1:8" ht="56.25" x14ac:dyDescent="0.25">
      <c r="A4" s="147" t="s">
        <v>58</v>
      </c>
      <c r="B4" s="147" t="s">
        <v>286</v>
      </c>
      <c r="C4" s="147" t="s">
        <v>59</v>
      </c>
      <c r="D4" s="198" t="s">
        <v>60</v>
      </c>
      <c r="E4" s="198"/>
      <c r="F4" s="198"/>
      <c r="G4" s="148" t="s">
        <v>61</v>
      </c>
      <c r="H4" s="147" t="s">
        <v>62</v>
      </c>
    </row>
    <row r="5" spans="1:8" x14ac:dyDescent="0.25">
      <c r="A5" s="147"/>
      <c r="B5" s="147"/>
      <c r="C5" s="149"/>
      <c r="D5" s="150" t="s">
        <v>63</v>
      </c>
      <c r="E5" s="150" t="s">
        <v>64</v>
      </c>
      <c r="F5" s="150" t="s">
        <v>93</v>
      </c>
      <c r="G5" s="149"/>
      <c r="H5" s="149"/>
    </row>
    <row r="6" spans="1:8" x14ac:dyDescent="0.25">
      <c r="A6" s="151" t="s">
        <v>65</v>
      </c>
      <c r="B6" s="147"/>
      <c r="C6" s="149"/>
      <c r="D6" s="152"/>
      <c r="E6" s="152"/>
      <c r="F6" s="152"/>
      <c r="G6" s="149"/>
      <c r="H6" s="149"/>
    </row>
    <row r="7" spans="1:8" x14ac:dyDescent="0.25">
      <c r="A7" s="153" t="s">
        <v>66</v>
      </c>
      <c r="B7" s="154">
        <f>C7</f>
        <v>50</v>
      </c>
      <c r="C7" s="155">
        <v>50</v>
      </c>
      <c r="D7" s="156"/>
      <c r="E7" s="156"/>
      <c r="F7" s="156"/>
      <c r="G7" s="156"/>
      <c r="H7" s="156"/>
    </row>
    <row r="8" spans="1:8" x14ac:dyDescent="0.25">
      <c r="A8" s="153" t="s">
        <v>67</v>
      </c>
      <c r="B8" s="154">
        <f>SUM(C8:H8)</f>
        <v>0</v>
      </c>
      <c r="C8" s="155"/>
      <c r="D8" s="149"/>
      <c r="E8" s="149"/>
      <c r="F8" s="149"/>
      <c r="G8" s="149"/>
      <c r="H8" s="149"/>
    </row>
    <row r="9" spans="1:8" x14ac:dyDescent="0.25">
      <c r="A9" s="153"/>
      <c r="B9" s="155"/>
      <c r="C9" s="155"/>
      <c r="D9" s="149"/>
      <c r="E9" s="149"/>
      <c r="F9" s="149"/>
      <c r="G9" s="149"/>
      <c r="H9" s="149"/>
    </row>
    <row r="10" spans="1:8" x14ac:dyDescent="0.25">
      <c r="A10" s="157" t="s">
        <v>287</v>
      </c>
      <c r="B10" s="158">
        <f t="shared" ref="B10:H10" si="0">SUM(B7:B8)</f>
        <v>50</v>
      </c>
      <c r="C10" s="158">
        <f t="shared" si="0"/>
        <v>50</v>
      </c>
      <c r="D10" s="158">
        <f t="shared" si="0"/>
        <v>0</v>
      </c>
      <c r="E10" s="158">
        <f t="shared" si="0"/>
        <v>0</v>
      </c>
      <c r="F10" s="158">
        <f t="shared" si="0"/>
        <v>0</v>
      </c>
      <c r="G10" s="158">
        <f t="shared" si="0"/>
        <v>0</v>
      </c>
      <c r="H10" s="158">
        <f t="shared" si="0"/>
        <v>0</v>
      </c>
    </row>
    <row r="11" spans="1:8" x14ac:dyDescent="0.25">
      <c r="A11" s="56"/>
      <c r="B11" s="56"/>
      <c r="C11" s="54"/>
      <c r="D11" s="54"/>
      <c r="E11" s="54"/>
      <c r="F11" s="54"/>
      <c r="G11" s="54"/>
      <c r="H11" s="54"/>
    </row>
    <row r="12" spans="1:8" x14ac:dyDescent="0.25">
      <c r="A12" s="57"/>
      <c r="B12" s="57"/>
      <c r="C12" s="54"/>
      <c r="D12" s="54"/>
      <c r="E12" s="54"/>
      <c r="F12" s="54"/>
      <c r="G12" s="54"/>
      <c r="H12" s="54"/>
    </row>
    <row r="13" spans="1:8" x14ac:dyDescent="0.25">
      <c r="A13" s="159" t="s">
        <v>68</v>
      </c>
      <c r="B13" s="160"/>
      <c r="C13" s="160"/>
      <c r="D13" s="160"/>
      <c r="E13" s="160"/>
      <c r="F13" s="160"/>
      <c r="G13" s="160"/>
      <c r="H13" s="160"/>
    </row>
    <row r="14" spans="1:8" ht="22.5" x14ac:dyDescent="0.25">
      <c r="A14" s="153" t="s">
        <v>184</v>
      </c>
      <c r="B14" s="155">
        <f>SUM(D14:F14)</f>
        <v>0</v>
      </c>
      <c r="C14" s="155"/>
      <c r="D14" s="161"/>
      <c r="E14" s="161"/>
      <c r="F14" s="161"/>
      <c r="G14" s="155"/>
      <c r="H14" s="155"/>
    </row>
    <row r="15" spans="1:8" x14ac:dyDescent="0.25">
      <c r="A15" s="153" t="s">
        <v>185</v>
      </c>
      <c r="B15" s="155">
        <f>SUM(C15:H15)</f>
        <v>99.999999999999972</v>
      </c>
      <c r="C15" s="155">
        <f>(10/60)*'Budget Parameters'!$B$17</f>
        <v>16.666666666666664</v>
      </c>
      <c r="D15" s="155">
        <f>(10/60)*'Budget Parameters'!$B$17</f>
        <v>16.666666666666664</v>
      </c>
      <c r="E15" s="155">
        <f>(10/60)*'Budget Parameters'!$B$17</f>
        <v>16.666666666666664</v>
      </c>
      <c r="F15" s="155">
        <f>(10/60)*'Budget Parameters'!$B$17</f>
        <v>16.666666666666664</v>
      </c>
      <c r="G15" s="155">
        <f>(10/60)*'Budget Parameters'!$B$17</f>
        <v>16.666666666666664</v>
      </c>
      <c r="H15" s="155">
        <f>(10/60)*'Budget Parameters'!$B$17</f>
        <v>16.666666666666664</v>
      </c>
    </row>
    <row r="16" spans="1:8" ht="22.5" x14ac:dyDescent="0.25">
      <c r="A16" s="153" t="s">
        <v>186</v>
      </c>
      <c r="B16" s="155">
        <f>SUM(C16:H16)</f>
        <v>480</v>
      </c>
      <c r="C16" s="155">
        <f>2*'Budget Parameters'!$B$15</f>
        <v>80</v>
      </c>
      <c r="D16" s="155">
        <f>2*'Budget Parameters'!$B$15</f>
        <v>80</v>
      </c>
      <c r="E16" s="155">
        <f>2*'Budget Parameters'!$B$15</f>
        <v>80</v>
      </c>
      <c r="F16" s="155">
        <f>2*'Budget Parameters'!$B$15</f>
        <v>80</v>
      </c>
      <c r="G16" s="155">
        <f>2*'Budget Parameters'!$B$15</f>
        <v>80</v>
      </c>
      <c r="H16" s="155">
        <f>2*'Budget Parameters'!$B$15</f>
        <v>80</v>
      </c>
    </row>
    <row r="17" spans="1:8" ht="22.5" x14ac:dyDescent="0.25">
      <c r="A17" s="165" t="s">
        <v>288</v>
      </c>
      <c r="B17" s="155">
        <f t="shared" ref="B17:H17" si="1">SUM(B14:B16)</f>
        <v>580</v>
      </c>
      <c r="C17" s="155">
        <f t="shared" si="1"/>
        <v>96.666666666666657</v>
      </c>
      <c r="D17" s="155">
        <f t="shared" si="1"/>
        <v>96.666666666666657</v>
      </c>
      <c r="E17" s="155">
        <f t="shared" si="1"/>
        <v>96.666666666666657</v>
      </c>
      <c r="F17" s="155">
        <f t="shared" si="1"/>
        <v>96.666666666666657</v>
      </c>
      <c r="G17" s="155">
        <f t="shared" si="1"/>
        <v>96.666666666666657</v>
      </c>
      <c r="H17" s="155">
        <f t="shared" si="1"/>
        <v>96.666666666666657</v>
      </c>
    </row>
    <row r="18" spans="1:8" x14ac:dyDescent="0.25">
      <c r="A18" s="153" t="s">
        <v>285</v>
      </c>
      <c r="B18" s="155">
        <f>B17*'Budget Parameters'!$C$22</f>
        <v>58</v>
      </c>
      <c r="C18" s="155">
        <f>C17*'Budget Parameters'!$C$22</f>
        <v>9.6666666666666661</v>
      </c>
      <c r="D18" s="155">
        <f>D17*'Budget Parameters'!$C$22</f>
        <v>9.6666666666666661</v>
      </c>
      <c r="E18" s="155">
        <f>E17*'Budget Parameters'!$C$22</f>
        <v>9.6666666666666661</v>
      </c>
      <c r="F18" s="155">
        <f>F17*'Budget Parameters'!$C$22</f>
        <v>9.6666666666666661</v>
      </c>
      <c r="G18" s="155">
        <f>G17*'Budget Parameters'!$C$22</f>
        <v>9.6666666666666661</v>
      </c>
      <c r="H18" s="155">
        <f>H17*'Budget Parameters'!$C$22</f>
        <v>9.6666666666666661</v>
      </c>
    </row>
    <row r="19" spans="1:8" ht="22.5" x14ac:dyDescent="0.25">
      <c r="A19" s="157" t="s">
        <v>289</v>
      </c>
      <c r="B19" s="158">
        <f>B17+B18</f>
        <v>638</v>
      </c>
      <c r="C19" s="158">
        <f t="shared" ref="C19:H19" si="2">C17+C18</f>
        <v>106.33333333333333</v>
      </c>
      <c r="D19" s="158">
        <f t="shared" si="2"/>
        <v>106.33333333333333</v>
      </c>
      <c r="E19" s="158">
        <f t="shared" si="2"/>
        <v>106.33333333333333</v>
      </c>
      <c r="F19" s="158">
        <f t="shared" si="2"/>
        <v>106.33333333333333</v>
      </c>
      <c r="G19" s="158">
        <f t="shared" si="2"/>
        <v>106.33333333333333</v>
      </c>
      <c r="H19" s="158">
        <f t="shared" si="2"/>
        <v>106.33333333333333</v>
      </c>
    </row>
    <row r="20" spans="1:8" x14ac:dyDescent="0.25">
      <c r="A20" s="153"/>
      <c r="B20" s="155"/>
      <c r="C20" s="155"/>
      <c r="D20" s="155"/>
      <c r="E20" s="155"/>
      <c r="F20" s="155"/>
      <c r="G20" s="155"/>
      <c r="H20" s="155"/>
    </row>
    <row r="21" spans="1:8" x14ac:dyDescent="0.25">
      <c r="A21" s="162" t="s">
        <v>71</v>
      </c>
      <c r="B21" s="162">
        <f>B19+B10</f>
        <v>688</v>
      </c>
      <c r="C21" s="162">
        <f t="shared" ref="C21:H21" si="3">C19+C10</f>
        <v>156.33333333333331</v>
      </c>
      <c r="D21" s="162">
        <f t="shared" si="3"/>
        <v>106.33333333333333</v>
      </c>
      <c r="E21" s="162">
        <f t="shared" si="3"/>
        <v>106.33333333333333</v>
      </c>
      <c r="F21" s="162">
        <f t="shared" si="3"/>
        <v>106.33333333333333</v>
      </c>
      <c r="G21" s="162">
        <f t="shared" si="3"/>
        <v>106.33333333333333</v>
      </c>
      <c r="H21" s="162">
        <f t="shared" si="3"/>
        <v>106.33333333333333</v>
      </c>
    </row>
    <row r="22" spans="1:8" x14ac:dyDescent="0.25">
      <c r="A22" s="155" t="s">
        <v>267</v>
      </c>
      <c r="B22" s="155">
        <f>'Budget Parameters'!C25*B21</f>
        <v>144.47999999999999</v>
      </c>
      <c r="C22" s="149"/>
      <c r="D22" s="149"/>
      <c r="E22" s="149"/>
      <c r="F22" s="149"/>
      <c r="G22" s="149"/>
      <c r="H22" s="149"/>
    </row>
    <row r="23" spans="1:8" x14ac:dyDescent="0.25">
      <c r="A23" s="163" t="s">
        <v>72</v>
      </c>
      <c r="B23" s="164">
        <f>SUM(B21:B22)</f>
        <v>832.48</v>
      </c>
      <c r="C23" s="149"/>
      <c r="D23" s="149"/>
      <c r="E23" s="149"/>
      <c r="F23" s="149"/>
      <c r="G23" s="149"/>
      <c r="H23" s="149"/>
    </row>
    <row r="24" spans="1:8" ht="15.75" thickBot="1" x14ac:dyDescent="0.3">
      <c r="A24" s="58"/>
      <c r="B24" s="166"/>
      <c r="C24" s="167"/>
      <c r="D24" s="167"/>
      <c r="E24" s="167"/>
      <c r="F24" s="167"/>
      <c r="G24" s="167"/>
      <c r="H24" s="167"/>
    </row>
    <row r="25" spans="1:8" ht="16.5" thickBot="1" x14ac:dyDescent="0.3">
      <c r="A25" s="51" t="s">
        <v>69</v>
      </c>
      <c r="B25" s="52"/>
      <c r="C25" s="52"/>
      <c r="D25" s="52"/>
      <c r="E25" s="52"/>
      <c r="F25" s="52"/>
      <c r="G25" s="52"/>
      <c r="H25" s="53"/>
    </row>
    <row r="26" spans="1:8" x14ac:dyDescent="0.25">
      <c r="A26" s="59" t="s">
        <v>225</v>
      </c>
      <c r="B26" s="103">
        <f>'Study Parameters'!C23</f>
        <v>0</v>
      </c>
      <c r="C26" s="54"/>
      <c r="D26" s="54"/>
      <c r="E26" s="54"/>
      <c r="F26" s="54"/>
      <c r="G26" s="54"/>
      <c r="H26" s="54"/>
    </row>
    <row r="27" spans="1:8" x14ac:dyDescent="0.25">
      <c r="A27" s="59" t="s">
        <v>70</v>
      </c>
      <c r="B27" s="55">
        <f>'Budget Parameters'!B26</f>
        <v>1000</v>
      </c>
      <c r="C27" s="54"/>
      <c r="D27" s="54"/>
      <c r="E27" s="54"/>
      <c r="F27" s="54"/>
      <c r="G27" s="54"/>
      <c r="H27" s="54"/>
    </row>
    <row r="28" spans="1:8" x14ac:dyDescent="0.25">
      <c r="A28" s="59" t="s">
        <v>211</v>
      </c>
      <c r="B28" s="55">
        <f>250</f>
        <v>250</v>
      </c>
      <c r="C28" s="54"/>
      <c r="D28" s="54"/>
      <c r="E28" s="54"/>
      <c r="F28" s="54"/>
      <c r="G28" s="54"/>
      <c r="H28" s="54"/>
    </row>
    <row r="29" spans="1:8" x14ac:dyDescent="0.25">
      <c r="A29" s="54"/>
      <c r="B29" s="60"/>
      <c r="C29" s="54"/>
      <c r="D29" s="54"/>
      <c r="E29" s="54"/>
      <c r="F29" s="54"/>
      <c r="G29" s="54"/>
      <c r="H29" s="54"/>
    </row>
    <row r="30" spans="1:8" x14ac:dyDescent="0.25">
      <c r="A30" s="61" t="s">
        <v>94</v>
      </c>
      <c r="B30" s="62">
        <f>SUM(B27:B28)</f>
        <v>1250</v>
      </c>
      <c r="C30" s="54"/>
      <c r="D30" s="54"/>
      <c r="E30" s="54"/>
      <c r="F30" s="54"/>
      <c r="G30" s="54"/>
      <c r="H30" s="54"/>
    </row>
    <row r="31" spans="1:8" x14ac:dyDescent="0.25">
      <c r="A31" s="61" t="s">
        <v>271</v>
      </c>
      <c r="B31" s="62">
        <f>B30*B26</f>
        <v>0</v>
      </c>
      <c r="C31" s="54"/>
      <c r="D31" s="54"/>
      <c r="E31" s="54"/>
      <c r="F31" s="54"/>
      <c r="G31" s="54"/>
      <c r="H31" s="54"/>
    </row>
    <row r="32" spans="1:8" ht="15.75" thickBot="1" x14ac:dyDescent="0.3">
      <c r="A32" s="61" t="s">
        <v>272</v>
      </c>
      <c r="B32" s="62">
        <f>B22*'Study Parameters'!C16</f>
        <v>0</v>
      </c>
      <c r="C32" s="54"/>
      <c r="D32" s="54"/>
      <c r="E32" s="54"/>
      <c r="F32" s="54"/>
      <c r="G32" s="54"/>
      <c r="H32" s="54"/>
    </row>
    <row r="33" spans="1:2" ht="15.75" thickBot="1" x14ac:dyDescent="0.3">
      <c r="A33" s="129" t="s">
        <v>273</v>
      </c>
      <c r="B33" s="130">
        <f>SUM(B31:B32)</f>
        <v>0</v>
      </c>
    </row>
  </sheetData>
  <mergeCells count="1">
    <mergeCell ref="D4:F4"/>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8">
      <formula1>55</formula1>
    </dataValidation>
  </dataValidations>
  <pageMargins left="0.70866141732283472" right="0.70866141732283472" top="0.74803149606299213" bottom="0.74803149606299213" header="0.31496062992125984" footer="0.31496062992125984"/>
  <pageSetup paperSize="9" orientation="landscape" r:id="rId1"/>
  <headerFooter>
    <oddFooter>&amp;L&amp;"Arial,Cursief"&amp;8&amp;F
Copyright © 2018 by KCE Trials. All rights reserved.&amp;C&amp;"Arial,Cursief"&amp;8Page &amp;P/&amp;N&amp;R&amp;"Arial,Cursief"&amp;8&amp;A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J5" sqref="J5"/>
    </sheetView>
  </sheetViews>
  <sheetFormatPr defaultRowHeight="12.75" x14ac:dyDescent="0.2"/>
  <cols>
    <col min="1" max="1" width="46.5703125" customWidth="1"/>
    <col min="2" max="2" width="12.5703125" bestFit="1" customWidth="1"/>
    <col min="3" max="3" width="11.5703125" bestFit="1" customWidth="1"/>
    <col min="4" max="4" width="14.140625" customWidth="1"/>
  </cols>
  <sheetData>
    <row r="1" spans="1:4" ht="13.5" thickBot="1" x14ac:dyDescent="0.25">
      <c r="A1" s="199" t="s">
        <v>297</v>
      </c>
      <c r="B1" s="199"/>
      <c r="C1" s="199"/>
      <c r="D1" s="199"/>
    </row>
    <row r="2" spans="1:4" ht="26.45" customHeight="1" thickBot="1" x14ac:dyDescent="0.25">
      <c r="A2" s="180"/>
      <c r="B2" s="181" t="s">
        <v>290</v>
      </c>
      <c r="C2" s="181" t="s">
        <v>291</v>
      </c>
      <c r="D2" s="182" t="s">
        <v>237</v>
      </c>
    </row>
    <row r="3" spans="1:4" ht="26.45" customHeight="1" x14ac:dyDescent="0.2">
      <c r="A3" s="183" t="s">
        <v>224</v>
      </c>
      <c r="B3" s="171">
        <f>50%*'Sponsor Cost'!H86</f>
        <v>92800</v>
      </c>
      <c r="C3" s="171">
        <f>50%*'Sponsor Cost'!H86</f>
        <v>92800</v>
      </c>
      <c r="D3" s="184"/>
    </row>
    <row r="4" spans="1:4" ht="26.45" customHeight="1" x14ac:dyDescent="0.2">
      <c r="A4" s="185" t="s">
        <v>295</v>
      </c>
      <c r="B4" s="169">
        <f>'Site Costs BE'!B33</f>
        <v>0</v>
      </c>
      <c r="C4" s="170">
        <v>0</v>
      </c>
      <c r="D4" s="186"/>
    </row>
    <row r="5" spans="1:4" ht="26.45" customHeight="1" thickBot="1" x14ac:dyDescent="0.25">
      <c r="A5" s="187" t="s">
        <v>296</v>
      </c>
      <c r="B5" s="172">
        <v>0</v>
      </c>
      <c r="C5" s="173">
        <f>'Site Costs NL'!B33</f>
        <v>0</v>
      </c>
      <c r="D5" s="188"/>
    </row>
    <row r="6" spans="1:4" ht="26.45" customHeight="1" thickBot="1" x14ac:dyDescent="0.25">
      <c r="A6" s="189"/>
      <c r="B6" s="190">
        <f>SUM(B3:B5)</f>
        <v>92800</v>
      </c>
      <c r="C6" s="190">
        <f>SUM(C3:C5)</f>
        <v>92800</v>
      </c>
      <c r="D6" s="191">
        <f>SUM(B6:C6)</f>
        <v>185600</v>
      </c>
    </row>
    <row r="7" spans="1:4" ht="26.45" customHeight="1" thickBot="1" x14ac:dyDescent="0.25">
      <c r="A7" s="192"/>
      <c r="B7" s="192"/>
      <c r="C7" s="192"/>
      <c r="D7" s="192"/>
    </row>
    <row r="8" spans="1:4" ht="26.45" customHeight="1" x14ac:dyDescent="0.2">
      <c r="A8" s="174" t="s">
        <v>261</v>
      </c>
      <c r="B8" s="175">
        <f>('Sponsor Cost'!$G$88)/1600/55/2</f>
        <v>0.62840909090909092</v>
      </c>
      <c r="C8" s="175">
        <f>('Sponsor Cost'!$G$88)/1600/55/2</f>
        <v>0.62840909090909092</v>
      </c>
      <c r="D8" s="176">
        <f>SUM(B8:C8)</f>
        <v>1.2568181818181818</v>
      </c>
    </row>
    <row r="9" spans="1:4" ht="26.45" customHeight="1" thickBot="1" x14ac:dyDescent="0.25">
      <c r="A9" s="177" t="s">
        <v>262</v>
      </c>
      <c r="B9" s="178">
        <f>B8/12</f>
        <v>5.2367424242424243E-2</v>
      </c>
      <c r="C9" s="178">
        <f t="shared" ref="C9:D9" si="0">C8/12</f>
        <v>5.2367424242424243E-2</v>
      </c>
      <c r="D9" s="179">
        <f t="shared" si="0"/>
        <v>0.10473484848484849</v>
      </c>
    </row>
    <row r="10" spans="1:4" ht="26.45" customHeight="1" x14ac:dyDescent="0.2">
      <c r="A10" s="174" t="s">
        <v>292</v>
      </c>
      <c r="B10" s="193">
        <f>('Sponsor Cost'!$G$89)/2</f>
        <v>37500</v>
      </c>
      <c r="C10" s="193">
        <f>('Sponsor Cost'!$G$89)/2</f>
        <v>37500</v>
      </c>
      <c r="D10" s="194">
        <f>SUM(B10:C10)</f>
        <v>75000</v>
      </c>
    </row>
    <row r="11" spans="1:4" ht="26.45" customHeight="1" thickBot="1" x14ac:dyDescent="0.25">
      <c r="A11" s="177" t="s">
        <v>294</v>
      </c>
      <c r="B11" s="173">
        <f>B10/12</f>
        <v>3125</v>
      </c>
      <c r="C11" s="173">
        <f t="shared" ref="C11" si="1">C10/12</f>
        <v>3125</v>
      </c>
      <c r="D11" s="188">
        <f t="shared" ref="D11" si="2">D10/12</f>
        <v>6250</v>
      </c>
    </row>
  </sheetData>
  <mergeCells count="1">
    <mergeCell ref="A1:D1"/>
  </mergeCells>
  <pageMargins left="0.70866141732283472" right="0.70866141732283472" top="0.74803149606299213" bottom="0.74803149606299213" header="0.31496062992125984" footer="0.31496062992125984"/>
  <pageSetup paperSize="9" orientation="portrait" r:id="rId1"/>
  <headerFooter>
    <oddFooter>&amp;L&amp;"Arial,Cursief"&amp;8&amp;F
Copyright © 2018 by KCE Trials. All rights reserved.&amp;C&amp;"Arial,Cursief"&amp;8&amp;P (&amp;N)&amp;R&amp;"Arial,Cursief"&amp;8&amp;A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2.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B035F1-5BFB-4EAA-B003-7E7147273A83}">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http://www.w3.org/XML/1998/namespace"/>
    <ds:schemaRef ds:uri="http://purl.org/dc/terms/"/>
    <ds:schemaRef ds:uri="44b4060f-e070-4511-aeff-5144ea3d9588"/>
    <ds:schemaRef ds:uri="04c8f565-a047-4190-8d08-438114edf654"/>
    <ds:schemaRef ds:uri="http://schemas.microsoft.com/office/2006/metadata/properties"/>
  </ds:schemaRefs>
</ds:datastoreItem>
</file>

<file path=customXml/itemProps4.xml><?xml version="1.0" encoding="utf-8"?>
<ds:datastoreItem xmlns:ds="http://schemas.openxmlformats.org/officeDocument/2006/customXml" ds:itemID="{763A8A30-07DE-4467-888D-907A99B9BF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How to complete</vt:lpstr>
      <vt:lpstr>Study Parameters</vt:lpstr>
      <vt:lpstr>Budget Parameters</vt:lpstr>
      <vt:lpstr>Sponsor Cost</vt:lpstr>
      <vt:lpstr>Site Costs BE</vt:lpstr>
      <vt:lpstr>Site Costs NL</vt:lpstr>
      <vt:lpstr>Overall costs</vt:lpstr>
      <vt:lpstr>'Budget Parameters'!Print_Area</vt:lpstr>
      <vt:lpstr>'How to complete'!Print_Area</vt:lpstr>
      <vt:lpstr>'Sponsor Cost'!Print_Titles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kce_trials@kce.fgov.be</dc:creator>
  <cp:lastModifiedBy>Verleye Leen</cp:lastModifiedBy>
  <cp:lastPrinted>2018-01-15T16:35:06Z</cp:lastPrinted>
  <dcterms:created xsi:type="dcterms:W3CDTF">1999-02-17T14:07:56Z</dcterms:created>
  <dcterms:modified xsi:type="dcterms:W3CDTF">2018-01-16T11:40:00Z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